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75" yWindow="-360" windowWidth="20355" windowHeight="10185"/>
  </bookViews>
  <sheets>
    <sheet name="Sheet1 (6)" sheetId="10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calcPr calcId="145621"/>
</workbook>
</file>

<file path=xl/calcChain.xml><?xml version="1.0" encoding="utf-8"?>
<calcChain xmlns="http://schemas.openxmlformats.org/spreadsheetml/2006/main">
  <c r="CM172" i="10" l="1"/>
  <c r="CM170" i="10"/>
  <c r="CK170" i="10"/>
  <c r="CM169" i="10"/>
  <c r="CK169" i="10"/>
  <c r="CM168" i="10"/>
  <c r="CK168" i="10"/>
  <c r="CM166" i="10"/>
  <c r="CK166" i="10"/>
  <c r="CK165" i="10"/>
  <c r="CM164" i="10"/>
  <c r="CK164" i="10"/>
  <c r="CM163" i="10"/>
  <c r="CK163" i="10"/>
  <c r="CM162" i="10"/>
  <c r="CM161" i="10"/>
  <c r="CM160" i="10"/>
  <c r="CR159" i="10"/>
  <c r="CR158" i="10"/>
  <c r="CN156" i="10"/>
  <c r="CM156" i="10"/>
  <c r="CN155" i="10"/>
  <c r="CM155" i="10"/>
  <c r="CP155" i="10" s="1"/>
  <c r="CQ155" i="10" s="1"/>
  <c r="CR161" i="10" s="1"/>
  <c r="CN154" i="10"/>
  <c r="CM154" i="10"/>
  <c r="CP154" i="10" s="1"/>
  <c r="CQ154" i="10" s="1"/>
  <c r="CR160" i="10" s="1"/>
  <c r="CN152" i="10"/>
  <c r="CM152" i="10"/>
  <c r="CP152" i="10" s="1"/>
  <c r="CQ152" i="10" s="1"/>
  <c r="CN151" i="10"/>
  <c r="CM151" i="10"/>
  <c r="CP151" i="10" s="1"/>
  <c r="CQ151" i="10" s="1"/>
  <c r="CU150" i="10"/>
  <c r="CT150" i="10"/>
  <c r="CN150" i="10"/>
  <c r="CM150" i="10"/>
  <c r="CP150" i="10" s="1"/>
  <c r="CQ150" i="10" s="1"/>
  <c r="CU148" i="10" s="1"/>
  <c r="CU149" i="10"/>
  <c r="CT149" i="10"/>
  <c r="CN149" i="10"/>
  <c r="CM149" i="10"/>
  <c r="CP149" i="10" s="1"/>
  <c r="CQ149" i="10" s="1"/>
  <c r="CU147" i="10" s="1"/>
  <c r="CT148" i="10"/>
  <c r="CN148" i="10"/>
  <c r="CM148" i="10"/>
  <c r="CP148" i="10" s="1"/>
  <c r="CQ148" i="10" s="1"/>
  <c r="CU146" i="10" s="1"/>
  <c r="CT147" i="10"/>
  <c r="CN147" i="10"/>
  <c r="CM147" i="10"/>
  <c r="CP147" i="10" s="1"/>
  <c r="CQ147" i="10" s="1"/>
  <c r="CU145" i="10" s="1"/>
  <c r="CT146" i="10"/>
  <c r="CN146" i="10"/>
  <c r="CM146" i="10"/>
  <c r="CP146" i="10" s="1"/>
  <c r="CQ146" i="10" s="1"/>
  <c r="CU144" i="10" s="1"/>
  <c r="CT145" i="10"/>
  <c r="CT144" i="10"/>
  <c r="CL136" i="10"/>
  <c r="CK136" i="10"/>
  <c r="CJ136" i="10"/>
  <c r="CI136" i="10"/>
  <c r="CN136" i="10" s="1"/>
  <c r="CL135" i="10"/>
  <c r="CK135" i="10"/>
  <c r="CJ135" i="10"/>
  <c r="CI135" i="10"/>
  <c r="CN135" i="10" s="1"/>
  <c r="CL134" i="10"/>
  <c r="CK134" i="10"/>
  <c r="CJ134" i="10"/>
  <c r="CI134" i="10"/>
  <c r="CN134" i="10" s="1"/>
  <c r="CL133" i="10"/>
  <c r="CK133" i="10"/>
  <c r="CJ133" i="10"/>
  <c r="CI133" i="10"/>
  <c r="CN133" i="10" s="1"/>
  <c r="CL132" i="10"/>
  <c r="CK132" i="10"/>
  <c r="CJ132" i="10"/>
  <c r="CI132" i="10"/>
  <c r="CN132" i="10" s="1"/>
  <c r="CL131" i="10"/>
  <c r="CK131" i="10"/>
  <c r="CJ131" i="10"/>
  <c r="CI131" i="10"/>
  <c r="CN131" i="10" s="1"/>
  <c r="CU130" i="10"/>
  <c r="CR130" i="10"/>
  <c r="CL130" i="10"/>
  <c r="CK130" i="10"/>
  <c r="CJ130" i="10"/>
  <c r="CI130" i="10"/>
  <c r="CN130" i="10" s="1"/>
  <c r="CU129" i="10"/>
  <c r="CR129" i="10"/>
  <c r="CL129" i="10"/>
  <c r="CK129" i="10"/>
  <c r="CJ129" i="10"/>
  <c r="CI129" i="10"/>
  <c r="CN129" i="10" s="1"/>
  <c r="CU128" i="10"/>
  <c r="CR128" i="10"/>
  <c r="CU127" i="10"/>
  <c r="CR127" i="10"/>
  <c r="CR126" i="10"/>
  <c r="CL126" i="10"/>
  <c r="CK126" i="10"/>
  <c r="CJ126" i="10"/>
  <c r="CI126" i="10"/>
  <c r="CN126" i="10" s="1"/>
  <c r="CR125" i="10"/>
  <c r="CL125" i="10"/>
  <c r="CK125" i="10"/>
  <c r="CJ125" i="10"/>
  <c r="CI125" i="10"/>
  <c r="CN125" i="10" s="1"/>
  <c r="CR124" i="10"/>
  <c r="CL124" i="10"/>
  <c r="CK124" i="10"/>
  <c r="CJ124" i="10"/>
  <c r="CI124" i="10"/>
  <c r="CN124" i="10" s="1"/>
  <c r="CR123" i="10"/>
  <c r="CL123" i="10"/>
  <c r="CK123" i="10"/>
  <c r="CJ123" i="10"/>
  <c r="CI123" i="10"/>
  <c r="CN123" i="10" s="1"/>
  <c r="CR122" i="10"/>
  <c r="CL122" i="10"/>
  <c r="CK122" i="10"/>
  <c r="CJ122" i="10"/>
  <c r="CI122" i="10"/>
  <c r="CN122" i="10" s="1"/>
  <c r="CR121" i="10"/>
  <c r="CL121" i="10"/>
  <c r="CK121" i="10"/>
  <c r="CJ121" i="10"/>
  <c r="CI121" i="10"/>
  <c r="CN121" i="10" s="1"/>
  <c r="CR120" i="10"/>
  <c r="CL120" i="10"/>
  <c r="CK120" i="10"/>
  <c r="CJ120" i="10"/>
  <c r="CI120" i="10"/>
  <c r="CN120" i="10" s="1"/>
  <c r="CR119" i="10"/>
  <c r="CR118" i="10"/>
  <c r="CR117" i="10"/>
  <c r="CL117" i="10"/>
  <c r="CK117" i="10"/>
  <c r="CJ117" i="10"/>
  <c r="CI117" i="10"/>
  <c r="CN117" i="10" s="1"/>
  <c r="CR116" i="10"/>
  <c r="CL116" i="10"/>
  <c r="CK116" i="10"/>
  <c r="CJ116" i="10"/>
  <c r="CI116" i="10"/>
  <c r="CN116" i="10" s="1"/>
  <c r="CR115" i="10"/>
  <c r="CL115" i="10"/>
  <c r="CK115" i="10"/>
  <c r="CJ115" i="10"/>
  <c r="CI115" i="10"/>
  <c r="CN115" i="10" s="1"/>
  <c r="CR114" i="10"/>
  <c r="CL114" i="10"/>
  <c r="CK114" i="10"/>
  <c r="CJ114" i="10"/>
  <c r="CI114" i="10"/>
  <c r="CN114" i="10" s="1"/>
  <c r="CR113" i="10"/>
  <c r="CL113" i="10"/>
  <c r="CK113" i="10"/>
  <c r="CJ113" i="10"/>
  <c r="CI113" i="10"/>
  <c r="CN113" i="10" s="1"/>
  <c r="CR112" i="10"/>
  <c r="CL112" i="10"/>
  <c r="CK112" i="10"/>
  <c r="CJ112" i="10"/>
  <c r="CI112" i="10"/>
  <c r="CN112" i="10" s="1"/>
  <c r="CR111" i="10"/>
  <c r="CL111" i="10"/>
  <c r="CK111" i="10"/>
  <c r="CJ111" i="10"/>
  <c r="CI111" i="10"/>
  <c r="CN111" i="10" s="1"/>
  <c r="CR110" i="10"/>
  <c r="CL110" i="10"/>
  <c r="CK110" i="10"/>
  <c r="CJ110" i="10"/>
  <c r="CI110" i="10"/>
  <c r="CN110" i="10" s="1"/>
  <c r="CR109" i="10"/>
  <c r="CL109" i="10"/>
  <c r="CK109" i="10"/>
  <c r="CJ109" i="10"/>
  <c r="CI109" i="10"/>
  <c r="CN109" i="10" s="1"/>
  <c r="CR108" i="10"/>
  <c r="CL108" i="10"/>
  <c r="CK108" i="10"/>
  <c r="CJ108" i="10"/>
  <c r="CI108" i="10"/>
  <c r="CN108" i="10" s="1"/>
  <c r="CR107" i="10"/>
  <c r="CL107" i="10"/>
  <c r="CK107" i="10"/>
  <c r="CJ107" i="10"/>
  <c r="CI107" i="10"/>
  <c r="CN107" i="10" s="1"/>
  <c r="CR106" i="10"/>
  <c r="CN106" i="10"/>
  <c r="CR105" i="10"/>
  <c r="CR104" i="10"/>
  <c r="CL104" i="10"/>
  <c r="CK104" i="10"/>
  <c r="CJ104" i="10"/>
  <c r="CI104" i="10"/>
  <c r="CN104" i="10" s="1"/>
  <c r="CR103" i="10"/>
  <c r="CL103" i="10"/>
  <c r="CK103" i="10"/>
  <c r="CJ103" i="10"/>
  <c r="CI103" i="10"/>
  <c r="CN103" i="10" s="1"/>
  <c r="CR102" i="10"/>
  <c r="CL102" i="10"/>
  <c r="CK102" i="10"/>
  <c r="CJ102" i="10"/>
  <c r="CI102" i="10"/>
  <c r="CN102" i="10" s="1"/>
  <c r="CR101" i="10"/>
  <c r="CL101" i="10"/>
  <c r="CK101" i="10"/>
  <c r="CJ101" i="10"/>
  <c r="CI101" i="10"/>
  <c r="CN101" i="10" s="1"/>
  <c r="CR100" i="10"/>
  <c r="CL100" i="10"/>
  <c r="CK100" i="10"/>
  <c r="CJ100" i="10"/>
  <c r="CI100" i="10"/>
  <c r="CN100" i="10" s="1"/>
  <c r="CR99" i="10"/>
  <c r="CL99" i="10"/>
  <c r="CK99" i="10"/>
  <c r="CJ99" i="10"/>
  <c r="CI99" i="10"/>
  <c r="CN99" i="10" s="1"/>
  <c r="CR98" i="10"/>
  <c r="CL98" i="10"/>
  <c r="CK98" i="10"/>
  <c r="CJ98" i="10"/>
  <c r="CI98" i="10"/>
  <c r="CN98" i="10" s="1"/>
  <c r="CR97" i="10"/>
  <c r="CL97" i="10"/>
  <c r="CK97" i="10"/>
  <c r="CJ97" i="10"/>
  <c r="CI97" i="10"/>
  <c r="CN97" i="10" s="1"/>
  <c r="CR96" i="10"/>
  <c r="CL96" i="10"/>
  <c r="CK96" i="10"/>
  <c r="CJ96" i="10"/>
  <c r="CI96" i="10"/>
  <c r="CN96" i="10" s="1"/>
  <c r="CH93" i="10"/>
  <c r="CL92" i="10"/>
  <c r="CK92" i="10"/>
  <c r="CJ92" i="10"/>
  <c r="CI92" i="10"/>
  <c r="CN92" i="10" s="1"/>
  <c r="CN91" i="10"/>
  <c r="CM91" i="10"/>
  <c r="CP91" i="10" s="1"/>
  <c r="CQ91" i="10" s="1"/>
  <c r="CL90" i="10"/>
  <c r="CK90" i="10"/>
  <c r="CJ90" i="10"/>
  <c r="CI90" i="10"/>
  <c r="CN90" i="10" s="1"/>
  <c r="CL89" i="10"/>
  <c r="CK89" i="10"/>
  <c r="CJ89" i="10"/>
  <c r="CI89" i="10"/>
  <c r="CN89" i="10" s="1"/>
  <c r="CL88" i="10"/>
  <c r="CK88" i="10"/>
  <c r="CJ88" i="10"/>
  <c r="CI88" i="10"/>
  <c r="CN88" i="10" s="1"/>
  <c r="CL87" i="10"/>
  <c r="CK87" i="10"/>
  <c r="CJ87" i="10"/>
  <c r="CI87" i="10"/>
  <c r="CN87" i="10" s="1"/>
  <c r="CL86" i="10"/>
  <c r="CK86" i="10"/>
  <c r="CJ86" i="10"/>
  <c r="CI86" i="10"/>
  <c r="CN86" i="10" s="1"/>
  <c r="CL84" i="10"/>
  <c r="CK84" i="10"/>
  <c r="CJ84" i="10"/>
  <c r="CI84" i="10"/>
  <c r="CN84" i="10" s="1"/>
  <c r="CL83" i="10"/>
  <c r="CK83" i="10"/>
  <c r="CJ83" i="10"/>
  <c r="CI83" i="10"/>
  <c r="CN83" i="10" s="1"/>
  <c r="CL82" i="10"/>
  <c r="CK82" i="10"/>
  <c r="CJ82" i="10"/>
  <c r="CI82" i="10"/>
  <c r="CN82" i="10" s="1"/>
  <c r="CL81" i="10"/>
  <c r="CK81" i="10"/>
  <c r="CJ81" i="10"/>
  <c r="CI81" i="10"/>
  <c r="CN81" i="10" s="1"/>
  <c r="CL80" i="10"/>
  <c r="CK80" i="10"/>
  <c r="CJ80" i="10"/>
  <c r="CI80" i="10"/>
  <c r="CN80" i="10" s="1"/>
  <c r="CL79" i="10"/>
  <c r="CK79" i="10"/>
  <c r="CJ79" i="10"/>
  <c r="CI79" i="10"/>
  <c r="CN79" i="10" s="1"/>
  <c r="CL78" i="10"/>
  <c r="CK78" i="10"/>
  <c r="CJ78" i="10"/>
  <c r="CI78" i="10"/>
  <c r="CL77" i="10"/>
  <c r="CK77" i="10"/>
  <c r="CJ77" i="10"/>
  <c r="CI77" i="10"/>
  <c r="CN77" i="10" s="1"/>
  <c r="CL76" i="10"/>
  <c r="CK76" i="10"/>
  <c r="CJ76" i="10"/>
  <c r="CI76" i="10"/>
  <c r="CN76" i="10" s="1"/>
  <c r="CL74" i="10"/>
  <c r="CK74" i="10"/>
  <c r="CJ74" i="10"/>
  <c r="CI74" i="10"/>
  <c r="CN74" i="10" s="1"/>
  <c r="CL73" i="10"/>
  <c r="CK73" i="10"/>
  <c r="CJ73" i="10"/>
  <c r="CI73" i="10"/>
  <c r="CN78" i="10" s="1"/>
  <c r="CL72" i="10"/>
  <c r="CK72" i="10"/>
  <c r="CJ72" i="10"/>
  <c r="CI72" i="10"/>
  <c r="CN72" i="10" s="1"/>
  <c r="CL71" i="10"/>
  <c r="CK71" i="10"/>
  <c r="CJ71" i="10"/>
  <c r="CI71" i="10"/>
  <c r="CN71" i="10" s="1"/>
  <c r="CL70" i="10"/>
  <c r="CK70" i="10"/>
  <c r="CJ70" i="10"/>
  <c r="CI70" i="10"/>
  <c r="CN70" i="10" s="1"/>
  <c r="CL68" i="10"/>
  <c r="CK68" i="10"/>
  <c r="CJ68" i="10"/>
  <c r="CI68" i="10"/>
  <c r="CN68" i="10" s="1"/>
  <c r="CL67" i="10"/>
  <c r="CK67" i="10"/>
  <c r="CJ67" i="10"/>
  <c r="CI67" i="10"/>
  <c r="CN67" i="10" s="1"/>
  <c r="CL66" i="10"/>
  <c r="CK66" i="10"/>
  <c r="CJ66" i="10"/>
  <c r="CI66" i="10"/>
  <c r="CN66" i="10" s="1"/>
  <c r="CL65" i="10"/>
  <c r="CK65" i="10"/>
  <c r="CJ65" i="10"/>
  <c r="CI65" i="10"/>
  <c r="CN65" i="10" s="1"/>
  <c r="CW61" i="10"/>
  <c r="CL61" i="10"/>
  <c r="CK61" i="10"/>
  <c r="CM61" i="10" s="1"/>
  <c r="CP61" i="10" s="1"/>
  <c r="CQ61" i="10" s="1"/>
  <c r="CU61" i="10" s="1"/>
  <c r="CJ61" i="10"/>
  <c r="CI61" i="10"/>
  <c r="CN61" i="10" s="1"/>
  <c r="CX60" i="10"/>
  <c r="CW60" i="10"/>
  <c r="CL60" i="10"/>
  <c r="CK60" i="10"/>
  <c r="CJ60" i="10"/>
  <c r="CI60" i="10"/>
  <c r="CX59" i="10"/>
  <c r="CW59" i="10"/>
  <c r="CL59" i="10"/>
  <c r="CK59" i="10"/>
  <c r="CJ59" i="10"/>
  <c r="CI59" i="10"/>
  <c r="CX58" i="10"/>
  <c r="CW58" i="10"/>
  <c r="CL58" i="10"/>
  <c r="CK58" i="10"/>
  <c r="CJ58" i="10"/>
  <c r="CI58" i="10"/>
  <c r="CX57" i="10"/>
  <c r="CW57" i="10"/>
  <c r="CL57" i="10"/>
  <c r="CK57" i="10"/>
  <c r="CJ57" i="10"/>
  <c r="CI57" i="10"/>
  <c r="CX56" i="10"/>
  <c r="CW56" i="10"/>
  <c r="CL56" i="10"/>
  <c r="CK56" i="10"/>
  <c r="CJ56" i="10"/>
  <c r="CI56" i="10"/>
  <c r="CX55" i="10"/>
  <c r="CW55" i="10"/>
  <c r="CL55" i="10"/>
  <c r="CK55" i="10"/>
  <c r="CJ55" i="10"/>
  <c r="CI55" i="10"/>
  <c r="CX54" i="10"/>
  <c r="CW54" i="10"/>
  <c r="CL54" i="10"/>
  <c r="CK54" i="10"/>
  <c r="CJ54" i="10"/>
  <c r="CI54" i="10"/>
  <c r="CX53" i="10"/>
  <c r="CW53" i="10"/>
  <c r="CL53" i="10"/>
  <c r="CK53" i="10"/>
  <c r="CJ53" i="10"/>
  <c r="CI53" i="10"/>
  <c r="CX52" i="10"/>
  <c r="CW52" i="10"/>
  <c r="CL49" i="10"/>
  <c r="CK49" i="10"/>
  <c r="CJ49" i="10"/>
  <c r="CI49" i="10"/>
  <c r="CF49" i="10"/>
  <c r="DB48" i="10"/>
  <c r="DA48" i="10"/>
  <c r="CZ48" i="10"/>
  <c r="CL48" i="10"/>
  <c r="CK48" i="10"/>
  <c r="DF48" i="10" s="1"/>
  <c r="CJ48" i="10"/>
  <c r="CI48" i="10"/>
  <c r="DH48" i="10" s="1"/>
  <c r="DP94" i="10" s="1"/>
  <c r="DP110" i="10" s="1"/>
  <c r="CF48" i="10"/>
  <c r="DB47" i="10"/>
  <c r="DA47" i="10"/>
  <c r="CZ47" i="10"/>
  <c r="CL47" i="10"/>
  <c r="CK47" i="10"/>
  <c r="DF47" i="10" s="1"/>
  <c r="CJ47" i="10"/>
  <c r="CI47" i="10"/>
  <c r="DH47" i="10" s="1"/>
  <c r="DP86" i="10" s="1"/>
  <c r="DP93" i="10" s="1"/>
  <c r="CF47" i="10"/>
  <c r="DB46" i="10"/>
  <c r="DA46" i="10"/>
  <c r="CZ46" i="10"/>
  <c r="CL46" i="10"/>
  <c r="CK46" i="10"/>
  <c r="DF46" i="10" s="1"/>
  <c r="CJ46" i="10"/>
  <c r="CI46" i="10"/>
  <c r="DH46" i="10" s="1"/>
  <c r="DP74" i="10" s="1"/>
  <c r="DP92" i="10" s="1"/>
  <c r="DP99" i="10" s="1"/>
  <c r="CF46" i="10"/>
  <c r="DB45" i="10"/>
  <c r="DA45" i="10"/>
  <c r="CZ45" i="10"/>
  <c r="CL45" i="10"/>
  <c r="CK45" i="10"/>
  <c r="DF45" i="10" s="1"/>
  <c r="CJ45" i="10"/>
  <c r="CI45" i="10"/>
  <c r="DH45" i="10" s="1"/>
  <c r="DP80" i="10" s="1"/>
  <c r="CF45" i="10"/>
  <c r="DB44" i="10"/>
  <c r="DA44" i="10"/>
  <c r="CZ44" i="10"/>
  <c r="CL44" i="10"/>
  <c r="CK44" i="10"/>
  <c r="DF44" i="10" s="1"/>
  <c r="DN69" i="10" s="1"/>
  <c r="DN108" i="10" s="1"/>
  <c r="CJ44" i="10"/>
  <c r="CI44" i="10"/>
  <c r="DH44" i="10" s="1"/>
  <c r="DP69" i="10" s="1"/>
  <c r="DP108" i="10" s="1"/>
  <c r="CF44" i="10"/>
  <c r="DB43" i="10"/>
  <c r="DA43" i="10"/>
  <c r="CZ43" i="10"/>
  <c r="CL43" i="10"/>
  <c r="CK43" i="10"/>
  <c r="DF43" i="10" s="1"/>
  <c r="DN68" i="10" s="1"/>
  <c r="CJ43" i="10"/>
  <c r="CI43" i="10"/>
  <c r="DH43" i="10" s="1"/>
  <c r="DP68" i="10" s="1"/>
  <c r="CF43" i="10"/>
  <c r="DB42" i="10"/>
  <c r="DA42" i="10"/>
  <c r="CZ42" i="10"/>
  <c r="CL42" i="10"/>
  <c r="CK42" i="10"/>
  <c r="CJ42" i="10"/>
  <c r="CI42" i="10"/>
  <c r="CF42" i="10"/>
  <c r="DB41" i="10"/>
  <c r="DA41" i="10"/>
  <c r="CZ41" i="10"/>
  <c r="CL41" i="10"/>
  <c r="CK41" i="10"/>
  <c r="DF41" i="10" s="1"/>
  <c r="CJ41" i="10"/>
  <c r="CI41" i="10"/>
  <c r="DH41" i="10" s="1"/>
  <c r="DP58" i="10" s="1"/>
  <c r="DP98" i="10" s="1"/>
  <c r="CF41" i="10"/>
  <c r="DB40" i="10"/>
  <c r="DA40" i="10"/>
  <c r="CZ40" i="10"/>
  <c r="CL40" i="10"/>
  <c r="CK40" i="10"/>
  <c r="DF40" i="10" s="1"/>
  <c r="DN57" i="10" s="1"/>
  <c r="DN84" i="10" s="1"/>
  <c r="CJ40" i="10"/>
  <c r="CI40" i="10"/>
  <c r="DH40" i="10" s="1"/>
  <c r="DP57" i="10" s="1"/>
  <c r="DP84" i="10" s="1"/>
  <c r="CF40" i="10"/>
  <c r="CB40" i="10"/>
  <c r="DB39" i="10"/>
  <c r="DA39" i="10"/>
  <c r="CZ39" i="10"/>
  <c r="CL39" i="10"/>
  <c r="CK39" i="10"/>
  <c r="DF39" i="10" s="1"/>
  <c r="DN56" i="10" s="1"/>
  <c r="CJ39" i="10"/>
  <c r="CI39" i="10"/>
  <c r="DH39" i="10" s="1"/>
  <c r="DP56" i="10" s="1"/>
  <c r="CF39" i="10"/>
  <c r="CB39" i="10"/>
  <c r="DB38" i="10"/>
  <c r="DA38" i="10"/>
  <c r="CZ38" i="10"/>
  <c r="CL38" i="10"/>
  <c r="CK38" i="10"/>
  <c r="DF38" i="10" s="1"/>
  <c r="CJ38" i="10"/>
  <c r="CI38" i="10"/>
  <c r="DH38" i="10" s="1"/>
  <c r="DP48" i="10" s="1"/>
  <c r="DP106" i="10" s="1"/>
  <c r="CF38" i="10"/>
  <c r="CB38" i="10"/>
  <c r="DB37" i="10"/>
  <c r="DA37" i="10"/>
  <c r="CZ37" i="10"/>
  <c r="CL37" i="10"/>
  <c r="CK37" i="10"/>
  <c r="DF37" i="10" s="1"/>
  <c r="CJ37" i="10"/>
  <c r="CI37" i="10"/>
  <c r="DH37" i="10" s="1"/>
  <c r="DP47" i="10" s="1"/>
  <c r="DP97" i="10" s="1"/>
  <c r="CF37" i="10"/>
  <c r="CB37" i="10"/>
  <c r="DB36" i="10"/>
  <c r="DA36" i="10"/>
  <c r="CZ36" i="10"/>
  <c r="CL36" i="10"/>
  <c r="CK36" i="10"/>
  <c r="DF36" i="10" s="1"/>
  <c r="DN46" i="10" s="1"/>
  <c r="DN83" i="10" s="1"/>
  <c r="CJ36" i="10"/>
  <c r="CI36" i="10"/>
  <c r="DH36" i="10" s="1"/>
  <c r="DP46" i="10" s="1"/>
  <c r="DP83" i="10" s="1"/>
  <c r="CF36" i="10"/>
  <c r="CB36" i="10"/>
  <c r="DB35" i="10"/>
  <c r="DA35" i="10"/>
  <c r="CZ35" i="10"/>
  <c r="CL35" i="10"/>
  <c r="CK35" i="10"/>
  <c r="DF35" i="10" s="1"/>
  <c r="CJ35" i="10"/>
  <c r="CI35" i="10"/>
  <c r="DH35" i="10" s="1"/>
  <c r="DP45" i="10" s="1"/>
  <c r="DP72" i="10" s="1"/>
  <c r="CF35" i="10"/>
  <c r="CB35" i="10"/>
  <c r="AD35" i="10"/>
  <c r="AC35" i="10"/>
  <c r="AB35" i="10"/>
  <c r="AA35" i="10"/>
  <c r="Z35" i="10"/>
  <c r="Y35" i="10"/>
  <c r="X35" i="10"/>
  <c r="W35" i="10"/>
  <c r="V35" i="10"/>
  <c r="U35" i="10"/>
  <c r="T35" i="10"/>
  <c r="S35" i="10"/>
  <c r="R35" i="10"/>
  <c r="Q35" i="10"/>
  <c r="P35" i="10"/>
  <c r="O35" i="10"/>
  <c r="N35" i="10"/>
  <c r="M35" i="10"/>
  <c r="L35" i="10"/>
  <c r="K35" i="10"/>
  <c r="J35" i="10"/>
  <c r="I35" i="10"/>
  <c r="H35" i="10"/>
  <c r="G35" i="10"/>
  <c r="F35" i="10"/>
  <c r="E35" i="10"/>
  <c r="D35" i="10"/>
  <c r="C35" i="10"/>
  <c r="DB34" i="10"/>
  <c r="DA34" i="10"/>
  <c r="CZ34" i="10"/>
  <c r="CL34" i="10"/>
  <c r="CK34" i="10"/>
  <c r="DF34" i="10" s="1"/>
  <c r="CJ34" i="10"/>
  <c r="CI34" i="10"/>
  <c r="DH34" i="10" s="1"/>
  <c r="DP44" i="10" s="1"/>
  <c r="CF34" i="10"/>
  <c r="CB34" i="10"/>
  <c r="DB33" i="10"/>
  <c r="DA33" i="10"/>
  <c r="CZ33" i="10"/>
  <c r="CL33" i="10"/>
  <c r="CK33" i="10"/>
  <c r="DF33" i="10" s="1"/>
  <c r="CJ33" i="10"/>
  <c r="CI33" i="10"/>
  <c r="DH33" i="10" s="1"/>
  <c r="DP38" i="10" s="1"/>
  <c r="DP105" i="10" s="1"/>
  <c r="CF33" i="10"/>
  <c r="CB33" i="10"/>
  <c r="AD33" i="10"/>
  <c r="AC33" i="10"/>
  <c r="AB33" i="10"/>
  <c r="AA33" i="10"/>
  <c r="Z33" i="10"/>
  <c r="Y33" i="10"/>
  <c r="X33" i="10"/>
  <c r="W33" i="10"/>
  <c r="V33" i="10"/>
  <c r="U33" i="10"/>
  <c r="T33" i="10"/>
  <c r="S33" i="10"/>
  <c r="R33" i="10"/>
  <c r="Q33" i="10"/>
  <c r="P33" i="10"/>
  <c r="O33" i="10"/>
  <c r="N33" i="10"/>
  <c r="M33" i="10"/>
  <c r="L33" i="10"/>
  <c r="K33" i="10"/>
  <c r="J33" i="10"/>
  <c r="I33" i="10"/>
  <c r="H33" i="10"/>
  <c r="G33" i="10"/>
  <c r="F33" i="10"/>
  <c r="E33" i="10"/>
  <c r="D33" i="10"/>
  <c r="C33" i="10"/>
  <c r="DB32" i="10"/>
  <c r="DA32" i="10"/>
  <c r="CZ32" i="10"/>
  <c r="CL32" i="10"/>
  <c r="CK32" i="10"/>
  <c r="DF32" i="10" s="1"/>
  <c r="CJ32" i="10"/>
  <c r="CI32" i="10"/>
  <c r="CI190" i="10" s="1"/>
  <c r="CF32" i="10"/>
  <c r="CB32" i="10"/>
  <c r="DB31" i="10"/>
  <c r="DA31" i="10"/>
  <c r="CZ31" i="10"/>
  <c r="CL31" i="10"/>
  <c r="CK31" i="10"/>
  <c r="DF31" i="10" s="1"/>
  <c r="CJ31" i="10"/>
  <c r="CI31" i="10"/>
  <c r="DH31" i="10" s="1"/>
  <c r="DP36" i="10" s="1"/>
  <c r="DP82" i="10" s="1"/>
  <c r="CF31" i="10"/>
  <c r="DB30" i="10"/>
  <c r="DA30" i="10"/>
  <c r="CZ30" i="10"/>
  <c r="CL30" i="10"/>
  <c r="CK30" i="10"/>
  <c r="DF30" i="10" s="1"/>
  <c r="DN35" i="10" s="1"/>
  <c r="DN71" i="10" s="1"/>
  <c r="CJ30" i="10"/>
  <c r="CI30" i="10"/>
  <c r="DH30" i="10" s="1"/>
  <c r="DP35" i="10" s="1"/>
  <c r="DP71" i="10" s="1"/>
  <c r="CF30" i="10"/>
  <c r="DB29" i="10"/>
  <c r="DA29" i="10"/>
  <c r="CZ29" i="10"/>
  <c r="CL29" i="10"/>
  <c r="CK29" i="10"/>
  <c r="DF29" i="10" s="1"/>
  <c r="DN34" i="10" s="1"/>
  <c r="DN61" i="10" s="1"/>
  <c r="CJ29" i="10"/>
  <c r="CI29" i="10"/>
  <c r="DH29" i="10" s="1"/>
  <c r="DP34" i="10" s="1"/>
  <c r="DP61" i="10" s="1"/>
  <c r="CF29" i="10"/>
  <c r="DB28" i="10"/>
  <c r="DA28" i="10"/>
  <c r="CZ28" i="10"/>
  <c r="CL28" i="10"/>
  <c r="CK28" i="10"/>
  <c r="DF28" i="10" s="1"/>
  <c r="DN33" i="10" s="1"/>
  <c r="DN50" i="10" s="1"/>
  <c r="CJ28" i="10"/>
  <c r="CI28" i="10"/>
  <c r="DH28" i="10" s="1"/>
  <c r="DP33" i="10" s="1"/>
  <c r="DP50" i="10" s="1"/>
  <c r="CF28" i="10"/>
  <c r="DB27" i="10"/>
  <c r="DA27" i="10"/>
  <c r="CZ27" i="10"/>
  <c r="CL27" i="10"/>
  <c r="CK27" i="10"/>
  <c r="DF27" i="10" s="1"/>
  <c r="CJ27" i="10"/>
  <c r="CI27" i="10"/>
  <c r="DH27" i="10" s="1"/>
  <c r="DP26" i="10" s="1"/>
  <c r="DP104" i="10" s="1"/>
  <c r="DP111" i="10" s="1"/>
  <c r="CF27" i="10"/>
  <c r="AF27" i="10"/>
  <c r="AD27" i="10"/>
  <c r="AC27" i="10"/>
  <c r="AB27" i="10"/>
  <c r="AA27" i="10"/>
  <c r="Z27" i="10"/>
  <c r="Y27" i="10"/>
  <c r="X27" i="10"/>
  <c r="W27" i="10"/>
  <c r="V27" i="10"/>
  <c r="U27" i="10"/>
  <c r="T27" i="10"/>
  <c r="S27" i="10"/>
  <c r="R27" i="10"/>
  <c r="Q27" i="10"/>
  <c r="P27" i="10"/>
  <c r="O27" i="10"/>
  <c r="N27" i="10"/>
  <c r="M27" i="10"/>
  <c r="L27" i="10"/>
  <c r="K27" i="10"/>
  <c r="J27" i="10"/>
  <c r="I27" i="10"/>
  <c r="H27" i="10"/>
  <c r="G27" i="10"/>
  <c r="F27" i="10"/>
  <c r="E27" i="10"/>
  <c r="D27" i="10"/>
  <c r="C27" i="10"/>
  <c r="DB26" i="10"/>
  <c r="DA26" i="10"/>
  <c r="CZ26" i="10"/>
  <c r="CL26" i="10"/>
  <c r="CK26" i="10"/>
  <c r="DF26" i="10" s="1"/>
  <c r="CJ26" i="10"/>
  <c r="CI26" i="10"/>
  <c r="DH26" i="10" s="1"/>
  <c r="DP25" i="10" s="1"/>
  <c r="DP95" i="10" s="1"/>
  <c r="CF26" i="10"/>
  <c r="AF26" i="10"/>
  <c r="AD26" i="10"/>
  <c r="AC26" i="10"/>
  <c r="AB26" i="10"/>
  <c r="AA26" i="10"/>
  <c r="Z26" i="10"/>
  <c r="Y26" i="10"/>
  <c r="X26" i="10"/>
  <c r="W26" i="10"/>
  <c r="V26" i="10"/>
  <c r="U26" i="10"/>
  <c r="T26" i="10"/>
  <c r="S26" i="10"/>
  <c r="R26" i="10"/>
  <c r="Q26" i="10"/>
  <c r="P26" i="10"/>
  <c r="O26" i="10"/>
  <c r="N26" i="10"/>
  <c r="M26" i="10"/>
  <c r="L26" i="10"/>
  <c r="K26" i="10"/>
  <c r="J26" i="10"/>
  <c r="I26" i="10"/>
  <c r="H26" i="10"/>
  <c r="G26" i="10"/>
  <c r="F26" i="10"/>
  <c r="E26" i="10"/>
  <c r="D26" i="10"/>
  <c r="C26" i="10"/>
  <c r="DB25" i="10"/>
  <c r="DA25" i="10"/>
  <c r="CZ25" i="10"/>
  <c r="CL25" i="10"/>
  <c r="CK25" i="10"/>
  <c r="DF25" i="10" s="1"/>
  <c r="CJ25" i="10"/>
  <c r="CI25" i="10"/>
  <c r="DH25" i="10" s="1"/>
  <c r="DP24" i="10" s="1"/>
  <c r="DP81" i="10" s="1"/>
  <c r="CF25" i="10"/>
  <c r="AF25" i="10"/>
  <c r="AF28" i="10" s="1"/>
  <c r="AD25" i="10"/>
  <c r="AD28" i="10" s="1"/>
  <c r="C70" i="10" s="1"/>
  <c r="AC25" i="10"/>
  <c r="AC28" i="10" s="1"/>
  <c r="C69" i="10" s="1"/>
  <c r="AB25" i="10"/>
  <c r="AB28" i="10" s="1"/>
  <c r="C68" i="10" s="1"/>
  <c r="AA25" i="10"/>
  <c r="AA28" i="10" s="1"/>
  <c r="C67" i="10" s="1"/>
  <c r="Z25" i="10"/>
  <c r="Z28" i="10" s="1"/>
  <c r="C66" i="10" s="1"/>
  <c r="Y25" i="10"/>
  <c r="Y28" i="10" s="1"/>
  <c r="C65" i="10" s="1"/>
  <c r="X25" i="10"/>
  <c r="X28" i="10" s="1"/>
  <c r="C64" i="10" s="1"/>
  <c r="W25" i="10"/>
  <c r="W28" i="10" s="1"/>
  <c r="C63" i="10" s="1"/>
  <c r="V25" i="10"/>
  <c r="V28" i="10" s="1"/>
  <c r="C62" i="10" s="1"/>
  <c r="U25" i="10"/>
  <c r="U28" i="10" s="1"/>
  <c r="C61" i="10" s="1"/>
  <c r="T25" i="10"/>
  <c r="T28" i="10" s="1"/>
  <c r="C60" i="10" s="1"/>
  <c r="S25" i="10"/>
  <c r="S28" i="10" s="1"/>
  <c r="C59" i="10" s="1"/>
  <c r="R25" i="10"/>
  <c r="R28" i="10" s="1"/>
  <c r="C58" i="10" s="1"/>
  <c r="Q25" i="10"/>
  <c r="Q28" i="10" s="1"/>
  <c r="C57" i="10" s="1"/>
  <c r="P25" i="10"/>
  <c r="P28" i="10" s="1"/>
  <c r="C56" i="10" s="1"/>
  <c r="O25" i="10"/>
  <c r="O28" i="10" s="1"/>
  <c r="C55" i="10" s="1"/>
  <c r="N25" i="10"/>
  <c r="N28" i="10" s="1"/>
  <c r="C54" i="10" s="1"/>
  <c r="M25" i="10"/>
  <c r="M28" i="10" s="1"/>
  <c r="C53" i="10" s="1"/>
  <c r="L25" i="10"/>
  <c r="L28" i="10" s="1"/>
  <c r="C52" i="10" s="1"/>
  <c r="K25" i="10"/>
  <c r="K28" i="10" s="1"/>
  <c r="C51" i="10" s="1"/>
  <c r="J25" i="10"/>
  <c r="J28" i="10" s="1"/>
  <c r="C50" i="10" s="1"/>
  <c r="I25" i="10"/>
  <c r="I28" i="10" s="1"/>
  <c r="C49" i="10" s="1"/>
  <c r="H25" i="10"/>
  <c r="H28" i="10" s="1"/>
  <c r="C48" i="10" s="1"/>
  <c r="G25" i="10"/>
  <c r="G28" i="10" s="1"/>
  <c r="C47" i="10" s="1"/>
  <c r="F25" i="10"/>
  <c r="F28" i="10" s="1"/>
  <c r="C46" i="10" s="1"/>
  <c r="E25" i="10"/>
  <c r="E28" i="10" s="1"/>
  <c r="C45" i="10" s="1"/>
  <c r="D25" i="10"/>
  <c r="D28" i="10" s="1"/>
  <c r="C44" i="10" s="1"/>
  <c r="C25" i="10"/>
  <c r="C28" i="10" s="1"/>
  <c r="C43" i="10" s="1"/>
  <c r="DB24" i="10"/>
  <c r="DA24" i="10"/>
  <c r="CZ24" i="10"/>
  <c r="CL24" i="10"/>
  <c r="CK24" i="10"/>
  <c r="DF24" i="10" s="1"/>
  <c r="CJ24" i="10"/>
  <c r="CI24" i="10"/>
  <c r="DH24" i="10" s="1"/>
  <c r="DP23" i="10" s="1"/>
  <c r="DP70" i="10" s="1"/>
  <c r="CF24" i="10"/>
  <c r="AF24" i="10"/>
  <c r="AD24" i="10"/>
  <c r="AD30" i="10" s="1"/>
  <c r="AC24" i="10"/>
  <c r="AC30" i="10" s="1"/>
  <c r="AB24" i="10"/>
  <c r="AB30" i="10" s="1"/>
  <c r="AA24" i="10"/>
  <c r="AA30" i="10" s="1"/>
  <c r="Z24" i="10"/>
  <c r="Z30" i="10" s="1"/>
  <c r="Y24" i="10"/>
  <c r="Y30" i="10" s="1"/>
  <c r="X24" i="10"/>
  <c r="X30" i="10" s="1"/>
  <c r="W24" i="10"/>
  <c r="W30" i="10" s="1"/>
  <c r="V24" i="10"/>
  <c r="V30" i="10" s="1"/>
  <c r="U24" i="10"/>
  <c r="U30" i="10" s="1"/>
  <c r="T24" i="10"/>
  <c r="T30" i="10" s="1"/>
  <c r="S24" i="10"/>
  <c r="S30" i="10" s="1"/>
  <c r="R24" i="10"/>
  <c r="R30" i="10" s="1"/>
  <c r="Q24" i="10"/>
  <c r="Q30" i="10" s="1"/>
  <c r="P24" i="10"/>
  <c r="P30" i="10" s="1"/>
  <c r="O24" i="10"/>
  <c r="O30" i="10" s="1"/>
  <c r="N24" i="10"/>
  <c r="N30" i="10" s="1"/>
  <c r="M24" i="10"/>
  <c r="M30" i="10" s="1"/>
  <c r="L24" i="10"/>
  <c r="L30" i="10" s="1"/>
  <c r="K24" i="10"/>
  <c r="K30" i="10" s="1"/>
  <c r="J24" i="10"/>
  <c r="J30" i="10" s="1"/>
  <c r="I24" i="10"/>
  <c r="I30" i="10" s="1"/>
  <c r="H24" i="10"/>
  <c r="H30" i="10" s="1"/>
  <c r="G24" i="10"/>
  <c r="G30" i="10" s="1"/>
  <c r="F24" i="10"/>
  <c r="F30" i="10" s="1"/>
  <c r="E24" i="10"/>
  <c r="E30" i="10" s="1"/>
  <c r="D24" i="10"/>
  <c r="D30" i="10" s="1"/>
  <c r="C24" i="10"/>
  <c r="C30" i="10" s="1"/>
  <c r="DB23" i="10"/>
  <c r="DA23" i="10"/>
  <c r="CZ23" i="10"/>
  <c r="CL23" i="10"/>
  <c r="CK23" i="10"/>
  <c r="DF23" i="10" s="1"/>
  <c r="DN22" i="10" s="1"/>
  <c r="DN60" i="10" s="1"/>
  <c r="CJ23" i="10"/>
  <c r="CI23" i="10"/>
  <c r="DH23" i="10" s="1"/>
  <c r="DP22" i="10" s="1"/>
  <c r="DP60" i="10" s="1"/>
  <c r="CF23" i="10"/>
  <c r="DB22" i="10"/>
  <c r="DA22" i="10"/>
  <c r="CZ22" i="10"/>
  <c r="CL22" i="10"/>
  <c r="CK22" i="10"/>
  <c r="DF22" i="10" s="1"/>
  <c r="CJ22" i="10"/>
  <c r="CI22" i="10"/>
  <c r="DH22" i="10" s="1"/>
  <c r="DP21" i="10" s="1"/>
  <c r="DP49" i="10" s="1"/>
  <c r="CF22" i="10"/>
  <c r="DB21" i="10"/>
  <c r="DA21" i="10"/>
  <c r="CZ21" i="10"/>
  <c r="CL21" i="10"/>
  <c r="CK21" i="10"/>
  <c r="DF21" i="10" s="1"/>
  <c r="CJ21" i="10"/>
  <c r="CI21" i="10"/>
  <c r="DH21" i="10" s="1"/>
  <c r="DP20" i="10" s="1"/>
  <c r="CF21" i="10"/>
  <c r="R21" i="10"/>
  <c r="Q21" i="10"/>
  <c r="AD9" i="10"/>
  <c r="AC9" i="10"/>
  <c r="AB9" i="10"/>
  <c r="AA9" i="10"/>
  <c r="Z9" i="10"/>
  <c r="Y9" i="10"/>
  <c r="X9" i="10"/>
  <c r="W9" i="10"/>
  <c r="V9" i="10"/>
  <c r="U9" i="10"/>
  <c r="T9" i="10"/>
  <c r="S9" i="10"/>
  <c r="R9" i="10"/>
  <c r="Q9" i="10"/>
  <c r="P9" i="10"/>
  <c r="O9" i="10"/>
  <c r="N9" i="10"/>
  <c r="M9" i="10"/>
  <c r="L9" i="10"/>
  <c r="K9" i="10"/>
  <c r="J9" i="10"/>
  <c r="I9" i="10"/>
  <c r="H9" i="10"/>
  <c r="G9" i="10"/>
  <c r="F9" i="10"/>
  <c r="E9" i="10"/>
  <c r="D9" i="10"/>
  <c r="C9" i="10"/>
  <c r="B9" i="10"/>
  <c r="AF23" i="10" s="1"/>
  <c r="CM65" i="10" l="1"/>
  <c r="CP65" i="10" s="1"/>
  <c r="CQ65" i="10" s="1"/>
  <c r="CU65" i="10" s="1"/>
  <c r="CM66" i="10"/>
  <c r="CP66" i="10" s="1"/>
  <c r="CQ66" i="10" s="1"/>
  <c r="CU66" i="10" s="1"/>
  <c r="CM67" i="10"/>
  <c r="CP67" i="10" s="1"/>
  <c r="CQ67" i="10" s="1"/>
  <c r="CU67" i="10" s="1"/>
  <c r="CM68" i="10"/>
  <c r="CP68" i="10" s="1"/>
  <c r="CQ68" i="10" s="1"/>
  <c r="CU68" i="10" s="1"/>
  <c r="CM70" i="10"/>
  <c r="CP70" i="10" s="1"/>
  <c r="CQ70" i="10" s="1"/>
  <c r="CU69" i="10" s="1"/>
  <c r="CM71" i="10"/>
  <c r="CP79" i="10" s="1"/>
  <c r="CQ79" i="10" s="1"/>
  <c r="CU77" i="10" s="1"/>
  <c r="CM72" i="10"/>
  <c r="CP72" i="10" s="1"/>
  <c r="CQ72" i="10" s="1"/>
  <c r="CU71" i="10" s="1"/>
  <c r="CM78" i="10"/>
  <c r="CP78" i="10" s="1"/>
  <c r="CQ78" i="10" s="1"/>
  <c r="CU76" i="10" s="1"/>
  <c r="CM74" i="10"/>
  <c r="CP74" i="10" s="1"/>
  <c r="CQ74" i="10" s="1"/>
  <c r="CU73" i="10" s="1"/>
  <c r="CM76" i="10"/>
  <c r="CP76" i="10" s="1"/>
  <c r="CQ76" i="10" s="1"/>
  <c r="CU74" i="10" s="1"/>
  <c r="CM77" i="10"/>
  <c r="CP77" i="10" s="1"/>
  <c r="CQ77" i="10" s="1"/>
  <c r="CU75" i="10" s="1"/>
  <c r="CM79" i="10"/>
  <c r="CP71" i="10" s="1"/>
  <c r="CQ71" i="10" s="1"/>
  <c r="CU70" i="10" s="1"/>
  <c r="CM80" i="10"/>
  <c r="CP80" i="10" s="1"/>
  <c r="CQ80" i="10" s="1"/>
  <c r="CU78" i="10" s="1"/>
  <c r="CM81" i="10"/>
  <c r="CP81" i="10" s="1"/>
  <c r="CQ81" i="10" s="1"/>
  <c r="CU79" i="10" s="1"/>
  <c r="CM82" i="10"/>
  <c r="CP82" i="10" s="1"/>
  <c r="CQ82" i="10" s="1"/>
  <c r="CU80" i="10" s="1"/>
  <c r="CM83" i="10"/>
  <c r="CP83" i="10" s="1"/>
  <c r="CQ83" i="10" s="1"/>
  <c r="CU81" i="10" s="1"/>
  <c r="CM84" i="10"/>
  <c r="CP84" i="10" s="1"/>
  <c r="CQ84" i="10" s="1"/>
  <c r="CU82" i="10" s="1"/>
  <c r="CM86" i="10"/>
  <c r="CP86" i="10" s="1"/>
  <c r="CQ86" i="10" s="1"/>
  <c r="CU83" i="10" s="1"/>
  <c r="CM87" i="10"/>
  <c r="CP87" i="10" s="1"/>
  <c r="CQ87" i="10" s="1"/>
  <c r="CU84" i="10" s="1"/>
  <c r="CM88" i="10"/>
  <c r="CP88" i="10" s="1"/>
  <c r="CQ88" i="10" s="1"/>
  <c r="CU85" i="10" s="1"/>
  <c r="CM89" i="10"/>
  <c r="CP89" i="10" s="1"/>
  <c r="CQ89" i="10" s="1"/>
  <c r="CU86" i="10" s="1"/>
  <c r="CM90" i="10"/>
  <c r="CP90" i="10" s="1"/>
  <c r="CQ90" i="10" s="1"/>
  <c r="CU87" i="10" s="1"/>
  <c r="CM92" i="10"/>
  <c r="CP92" i="10" s="1"/>
  <c r="CQ92" i="10" s="1"/>
  <c r="CM96" i="10"/>
  <c r="CP96" i="10" s="1"/>
  <c r="CQ96" i="10" s="1"/>
  <c r="CU96" i="10" s="1"/>
  <c r="CM97" i="10"/>
  <c r="CP97" i="10" s="1"/>
  <c r="CQ97" i="10" s="1"/>
  <c r="CU97" i="10" s="1"/>
  <c r="CM98" i="10"/>
  <c r="CP98" i="10" s="1"/>
  <c r="CQ98" i="10" s="1"/>
  <c r="CU98" i="10" s="1"/>
  <c r="CM99" i="10"/>
  <c r="CP99" i="10" s="1"/>
  <c r="CQ99" i="10" s="1"/>
  <c r="CU99" i="10" s="1"/>
  <c r="CM100" i="10"/>
  <c r="CP100" i="10" s="1"/>
  <c r="CQ100" i="10" s="1"/>
  <c r="CU100" i="10" s="1"/>
  <c r="CM101" i="10"/>
  <c r="CP101" i="10" s="1"/>
  <c r="CQ101" i="10" s="1"/>
  <c r="CU101" i="10" s="1"/>
  <c r="CM102" i="10"/>
  <c r="CP102" i="10" s="1"/>
  <c r="CQ102" i="10" s="1"/>
  <c r="CU102" i="10" s="1"/>
  <c r="CM103" i="10"/>
  <c r="CP103" i="10" s="1"/>
  <c r="CQ103" i="10" s="1"/>
  <c r="CU103" i="10" s="1"/>
  <c r="CM104" i="10"/>
  <c r="CP104" i="10" s="1"/>
  <c r="CQ104" i="10" s="1"/>
  <c r="CU104" i="10" s="1"/>
  <c r="CM107" i="10"/>
  <c r="CP107" i="10" s="1"/>
  <c r="CQ107" i="10" s="1"/>
  <c r="CU105" i="10" s="1"/>
  <c r="CM108" i="10"/>
  <c r="CP108" i="10" s="1"/>
  <c r="CQ108" i="10" s="1"/>
  <c r="CU106" i="10" s="1"/>
  <c r="CM109" i="10"/>
  <c r="CP109" i="10" s="1"/>
  <c r="CQ109" i="10" s="1"/>
  <c r="CU107" i="10" s="1"/>
  <c r="CM110" i="10"/>
  <c r="CP110" i="10" s="1"/>
  <c r="CQ110" i="10" s="1"/>
  <c r="CU108" i="10" s="1"/>
  <c r="CM111" i="10"/>
  <c r="CP111" i="10" s="1"/>
  <c r="CQ111" i="10" s="1"/>
  <c r="CU109" i="10" s="1"/>
  <c r="CM112" i="10"/>
  <c r="CP112" i="10" s="1"/>
  <c r="CQ112" i="10" s="1"/>
  <c r="CU110" i="10" s="1"/>
  <c r="CM113" i="10"/>
  <c r="CP113" i="10" s="1"/>
  <c r="CQ113" i="10" s="1"/>
  <c r="CU111" i="10" s="1"/>
  <c r="CM114" i="10"/>
  <c r="CM115" i="10"/>
  <c r="CM116" i="10"/>
  <c r="CM117" i="10"/>
  <c r="CM120" i="10"/>
  <c r="CP120" i="10" s="1"/>
  <c r="CQ120" i="10" s="1"/>
  <c r="CU112" i="10" s="1"/>
  <c r="CM121" i="10"/>
  <c r="CP121" i="10" s="1"/>
  <c r="CQ121" i="10" s="1"/>
  <c r="CU113" i="10" s="1"/>
  <c r="CM122" i="10"/>
  <c r="CP122" i="10" s="1"/>
  <c r="CQ122" i="10" s="1"/>
  <c r="CU114" i="10" s="1"/>
  <c r="CM123" i="10"/>
  <c r="CP123" i="10" s="1"/>
  <c r="CQ123" i="10" s="1"/>
  <c r="CU115" i="10" s="1"/>
  <c r="CM124" i="10"/>
  <c r="CP124" i="10" s="1"/>
  <c r="CQ124" i="10" s="1"/>
  <c r="CU116" i="10" s="1"/>
  <c r="CM125" i="10"/>
  <c r="CP125" i="10" s="1"/>
  <c r="CQ125" i="10" s="1"/>
  <c r="CU117" i="10" s="1"/>
  <c r="CM126" i="10"/>
  <c r="CP126" i="10" s="1"/>
  <c r="CQ126" i="10" s="1"/>
  <c r="CU118" i="10" s="1"/>
  <c r="CM129" i="10"/>
  <c r="CP129" i="10" s="1"/>
  <c r="CQ129" i="10" s="1"/>
  <c r="CU119" i="10" s="1"/>
  <c r="CM130" i="10"/>
  <c r="CP130" i="10" s="1"/>
  <c r="CQ130" i="10" s="1"/>
  <c r="CU120" i="10" s="1"/>
  <c r="CM131" i="10"/>
  <c r="CP131" i="10" s="1"/>
  <c r="CQ131" i="10" s="1"/>
  <c r="CU121" i="10" s="1"/>
  <c r="CM132" i="10"/>
  <c r="CP132" i="10" s="1"/>
  <c r="CQ132" i="10" s="1"/>
  <c r="CU122" i="10" s="1"/>
  <c r="CM133" i="10"/>
  <c r="CP133" i="10" s="1"/>
  <c r="CQ133" i="10" s="1"/>
  <c r="CU123" i="10" s="1"/>
  <c r="CM134" i="10"/>
  <c r="CP134" i="10" s="1"/>
  <c r="CQ134" i="10" s="1"/>
  <c r="CU124" i="10" s="1"/>
  <c r="CM135" i="10"/>
  <c r="CP135" i="10" s="1"/>
  <c r="CQ135" i="10" s="1"/>
  <c r="CU125" i="10" s="1"/>
  <c r="CM136" i="10"/>
  <c r="CP136" i="10" s="1"/>
  <c r="CQ136" i="10" s="1"/>
  <c r="CU126" i="10" s="1"/>
  <c r="AF31" i="10"/>
  <c r="B10" i="10" s="1"/>
  <c r="CM49" i="10"/>
  <c r="CC32" i="10" s="1"/>
  <c r="CQ39" i="10"/>
  <c r="DI39" i="10"/>
  <c r="DQ56" i="10" s="1"/>
  <c r="CQ47" i="10"/>
  <c r="DI47" i="10"/>
  <c r="DQ86" i="10" s="1"/>
  <c r="DQ93" i="10" s="1"/>
  <c r="CQ43" i="10"/>
  <c r="DI43" i="10"/>
  <c r="DQ68" i="10" s="1"/>
  <c r="CQ44" i="10"/>
  <c r="DI44" i="10"/>
  <c r="DQ69" i="10" s="1"/>
  <c r="DQ108" i="10" s="1"/>
  <c r="CQ45" i="10"/>
  <c r="DI45" i="10"/>
  <c r="DQ80" i="10" s="1"/>
  <c r="CQ35" i="10"/>
  <c r="DI35" i="10"/>
  <c r="DQ45" i="10" s="1"/>
  <c r="DQ72" i="10" s="1"/>
  <c r="CQ37" i="10"/>
  <c r="DI37" i="10"/>
  <c r="DQ47" i="10" s="1"/>
  <c r="DQ97" i="10" s="1"/>
  <c r="CQ38" i="10"/>
  <c r="DI38" i="10"/>
  <c r="DQ48" i="10" s="1"/>
  <c r="DQ106" i="10" s="1"/>
  <c r="CQ46" i="10"/>
  <c r="DI46" i="10"/>
  <c r="DQ74" i="10" s="1"/>
  <c r="DQ92" i="10" s="1"/>
  <c r="DQ99" i="10" s="1"/>
  <c r="CQ36" i="10"/>
  <c r="DI36" i="10"/>
  <c r="DQ46" i="10" s="1"/>
  <c r="DQ83" i="10" s="1"/>
  <c r="CQ42" i="10"/>
  <c r="CQ22" i="10"/>
  <c r="DI22" i="10"/>
  <c r="DQ21" i="10" s="1"/>
  <c r="DQ49" i="10" s="1"/>
  <c r="CQ23" i="10"/>
  <c r="DI23" i="10"/>
  <c r="DQ22" i="10" s="1"/>
  <c r="DQ60" i="10" s="1"/>
  <c r="CQ24" i="10"/>
  <c r="CQ27" i="10"/>
  <c r="DI27" i="10"/>
  <c r="DQ26" i="10" s="1"/>
  <c r="DQ104" i="10" s="1"/>
  <c r="DQ111" i="10" s="1"/>
  <c r="CQ48" i="10"/>
  <c r="DI48" i="10"/>
  <c r="DQ94" i="10" s="1"/>
  <c r="DQ110" i="10" s="1"/>
  <c r="DI24" i="10"/>
  <c r="DQ23" i="10" s="1"/>
  <c r="DQ70" i="10" s="1"/>
  <c r="CQ26" i="10"/>
  <c r="DI26" i="10"/>
  <c r="DQ25" i="10" s="1"/>
  <c r="DQ95" i="10" s="1"/>
  <c r="CQ29" i="10"/>
  <c r="DI29" i="10"/>
  <c r="DQ34" i="10" s="1"/>
  <c r="DQ61" i="10" s="1"/>
  <c r="CQ30" i="10"/>
  <c r="DI30" i="10"/>
  <c r="DQ35" i="10" s="1"/>
  <c r="DQ71" i="10" s="1"/>
  <c r="CQ31" i="10"/>
  <c r="DI31" i="10"/>
  <c r="DQ36" i="10" s="1"/>
  <c r="DQ82" i="10" s="1"/>
  <c r="CQ41" i="10"/>
  <c r="DI41" i="10"/>
  <c r="DQ58" i="10" s="1"/>
  <c r="DQ98" i="10" s="1"/>
  <c r="CQ21" i="10"/>
  <c r="DI21" i="10"/>
  <c r="DQ20" i="10" s="1"/>
  <c r="CQ25" i="10"/>
  <c r="DI25" i="10"/>
  <c r="DQ24" i="10" s="1"/>
  <c r="DQ81" i="10" s="1"/>
  <c r="CQ28" i="10"/>
  <c r="DI28" i="10"/>
  <c r="DQ33" i="10" s="1"/>
  <c r="DQ50" i="10" s="1"/>
  <c r="CQ32" i="10"/>
  <c r="DI32" i="10"/>
  <c r="DQ37" i="10" s="1"/>
  <c r="DQ96" i="10" s="1"/>
  <c r="CQ33" i="10"/>
  <c r="DI33" i="10"/>
  <c r="DQ38" i="10" s="1"/>
  <c r="DQ105" i="10" s="1"/>
  <c r="CQ34" i="10"/>
  <c r="DI34" i="10"/>
  <c r="DQ44" i="10" s="1"/>
  <c r="CQ40" i="10"/>
  <c r="DI40" i="10"/>
  <c r="DQ57" i="10" s="1"/>
  <c r="DQ84" i="10" s="1"/>
  <c r="DP32" i="10"/>
  <c r="DP39" i="10" s="1"/>
  <c r="DP27" i="10"/>
  <c r="CO170" i="10"/>
  <c r="DN20" i="10"/>
  <c r="DQ32" i="10"/>
  <c r="DQ39" i="10" s="1"/>
  <c r="DQ27" i="10"/>
  <c r="CO168" i="10"/>
  <c r="DN21" i="10"/>
  <c r="DN49" i="10" s="1"/>
  <c r="CO166" i="10"/>
  <c r="DN23" i="10"/>
  <c r="DN70" i="10" s="1"/>
  <c r="CO164" i="10"/>
  <c r="DN24" i="10"/>
  <c r="DN81" i="10" s="1"/>
  <c r="C31" i="10"/>
  <c r="D31" i="10"/>
  <c r="E31" i="10"/>
  <c r="F31" i="10"/>
  <c r="G31" i="10"/>
  <c r="H31" i="10"/>
  <c r="I31" i="10"/>
  <c r="J31" i="10"/>
  <c r="K31" i="10"/>
  <c r="L31" i="10"/>
  <c r="M31" i="10"/>
  <c r="N31" i="10"/>
  <c r="O31" i="10"/>
  <c r="P31" i="10"/>
  <c r="Q31" i="10"/>
  <c r="R31" i="10"/>
  <c r="S31" i="10"/>
  <c r="T31" i="10"/>
  <c r="U31" i="10"/>
  <c r="V31" i="10"/>
  <c r="W31" i="10"/>
  <c r="X31" i="10"/>
  <c r="Y31" i="10"/>
  <c r="Z31" i="10"/>
  <c r="AA31" i="10"/>
  <c r="AB31" i="10"/>
  <c r="AC31" i="10"/>
  <c r="AD31" i="10"/>
  <c r="CK159" i="10"/>
  <c r="DN25" i="10"/>
  <c r="DN95" i="10" s="1"/>
  <c r="CO159" i="10"/>
  <c r="DN26" i="10"/>
  <c r="DN104" i="10" s="1"/>
  <c r="DN111" i="10" s="1"/>
  <c r="DL124" i="10" s="1"/>
  <c r="DN113" i="10"/>
  <c r="DN124" i="10" s="1"/>
  <c r="CO163" i="10"/>
  <c r="DN36" i="10"/>
  <c r="DN82" i="10" s="1"/>
  <c r="CK160" i="10"/>
  <c r="DN37" i="10"/>
  <c r="DN96" i="10" s="1"/>
  <c r="CO160" i="10"/>
  <c r="DN38" i="10"/>
  <c r="DN105" i="10" s="1"/>
  <c r="DP62" i="10"/>
  <c r="DP51" i="10"/>
  <c r="CO169" i="10"/>
  <c r="DN44" i="10"/>
  <c r="DQ62" i="10"/>
  <c r="DQ51" i="10"/>
  <c r="CO165" i="10"/>
  <c r="DN45" i="10"/>
  <c r="DN72" i="10" s="1"/>
  <c r="CK161" i="10"/>
  <c r="DN47" i="10"/>
  <c r="DN97" i="10" s="1"/>
  <c r="CO161" i="10"/>
  <c r="DN48" i="10"/>
  <c r="DN106" i="10" s="1"/>
  <c r="DP73" i="10"/>
  <c r="DP63" i="10"/>
  <c r="DN73" i="10"/>
  <c r="DN63" i="10"/>
  <c r="DL120" i="10" s="1"/>
  <c r="DQ73" i="10"/>
  <c r="DQ63" i="10"/>
  <c r="DN65" i="10" s="1"/>
  <c r="DN120" i="10" s="1"/>
  <c r="CK162" i="10"/>
  <c r="DN58" i="10"/>
  <c r="DN98" i="10" s="1"/>
  <c r="CM21" i="10"/>
  <c r="CN21" i="10"/>
  <c r="DD21" i="10"/>
  <c r="DL20" i="10" s="1"/>
  <c r="DE21" i="10"/>
  <c r="DM20" i="10" s="1"/>
  <c r="DG21" i="10"/>
  <c r="DO20" i="10" s="1"/>
  <c r="CM22" i="10"/>
  <c r="CN22" i="10"/>
  <c r="CI197" i="10" s="1"/>
  <c r="DD22" i="10"/>
  <c r="DL21" i="10" s="1"/>
  <c r="DL49" i="10" s="1"/>
  <c r="DE22" i="10"/>
  <c r="DM21" i="10" s="1"/>
  <c r="DM49" i="10" s="1"/>
  <c r="DG22" i="10"/>
  <c r="DO21" i="10" s="1"/>
  <c r="DO49" i="10" s="1"/>
  <c r="CM23" i="10"/>
  <c r="CN23" i="10"/>
  <c r="CI198" i="10" s="1"/>
  <c r="DD23" i="10"/>
  <c r="DL22" i="10" s="1"/>
  <c r="DL60" i="10" s="1"/>
  <c r="DE23" i="10"/>
  <c r="DM22" i="10" s="1"/>
  <c r="DM60" i="10" s="1"/>
  <c r="DG23" i="10"/>
  <c r="DO22" i="10" s="1"/>
  <c r="DO60" i="10" s="1"/>
  <c r="CM24" i="10"/>
  <c r="CN24" i="10"/>
  <c r="CI199" i="10" s="1"/>
  <c r="DD24" i="10"/>
  <c r="DL23" i="10" s="1"/>
  <c r="DL70" i="10" s="1"/>
  <c r="DE24" i="10"/>
  <c r="DM23" i="10" s="1"/>
  <c r="DM70" i="10" s="1"/>
  <c r="DG24" i="10"/>
  <c r="DO23" i="10" s="1"/>
  <c r="DO70" i="10" s="1"/>
  <c r="CM25" i="10"/>
  <c r="CN25" i="10"/>
  <c r="DD25" i="10"/>
  <c r="DL24" i="10" s="1"/>
  <c r="DL81" i="10" s="1"/>
  <c r="DE25" i="10"/>
  <c r="DM24" i="10" s="1"/>
  <c r="DM81" i="10" s="1"/>
  <c r="DG25" i="10"/>
  <c r="DO24" i="10" s="1"/>
  <c r="DO81" i="10" s="1"/>
  <c r="CM26" i="10"/>
  <c r="CN26" i="10"/>
  <c r="DD26" i="10"/>
  <c r="DL25" i="10" s="1"/>
  <c r="DL95" i="10" s="1"/>
  <c r="DE26" i="10"/>
  <c r="DM25" i="10" s="1"/>
  <c r="DM95" i="10" s="1"/>
  <c r="DG26" i="10"/>
  <c r="DO25" i="10" s="1"/>
  <c r="DO95" i="10" s="1"/>
  <c r="CM27" i="10"/>
  <c r="CN27" i="10"/>
  <c r="DD27" i="10"/>
  <c r="DL26" i="10" s="1"/>
  <c r="DL104" i="10" s="1"/>
  <c r="DL111" i="10" s="1"/>
  <c r="DE27" i="10"/>
  <c r="DM26" i="10" s="1"/>
  <c r="DM104" i="10" s="1"/>
  <c r="DM111" i="10" s="1"/>
  <c r="DG27" i="10"/>
  <c r="DO26" i="10" s="1"/>
  <c r="DO104" i="10" s="1"/>
  <c r="CM28" i="10"/>
  <c r="CN28" i="10"/>
  <c r="CI204" i="10" s="1"/>
  <c r="DD28" i="10"/>
  <c r="DL33" i="10" s="1"/>
  <c r="DL50" i="10" s="1"/>
  <c r="DE28" i="10"/>
  <c r="DM33" i="10" s="1"/>
  <c r="DM50" i="10" s="1"/>
  <c r="DG28" i="10"/>
  <c r="DO33" i="10" s="1"/>
  <c r="DO50" i="10" s="1"/>
  <c r="CM29" i="10"/>
  <c r="CN29" i="10"/>
  <c r="CI205" i="10" s="1"/>
  <c r="DD29" i="10"/>
  <c r="DL34" i="10" s="1"/>
  <c r="DL61" i="10" s="1"/>
  <c r="DE29" i="10"/>
  <c r="DM34" i="10" s="1"/>
  <c r="DM61" i="10" s="1"/>
  <c r="DG29" i="10"/>
  <c r="DO34" i="10" s="1"/>
  <c r="DO61" i="10" s="1"/>
  <c r="CM30" i="10"/>
  <c r="CN30" i="10"/>
  <c r="CI206" i="10" s="1"/>
  <c r="DD30" i="10"/>
  <c r="DL35" i="10" s="1"/>
  <c r="DL71" i="10" s="1"/>
  <c r="DE30" i="10"/>
  <c r="DM35" i="10" s="1"/>
  <c r="DM71" i="10" s="1"/>
  <c r="DG30" i="10"/>
  <c r="DO35" i="10" s="1"/>
  <c r="DO71" i="10" s="1"/>
  <c r="CM31" i="10"/>
  <c r="CN31" i="10"/>
  <c r="CI207" i="10" s="1"/>
  <c r="DD31" i="10"/>
  <c r="DL36" i="10" s="1"/>
  <c r="DL82" i="10" s="1"/>
  <c r="DE31" i="10"/>
  <c r="DM36" i="10" s="1"/>
  <c r="DM82" i="10" s="1"/>
  <c r="DG31" i="10"/>
  <c r="DO36" i="10" s="1"/>
  <c r="DO82" i="10" s="1"/>
  <c r="CM32" i="10"/>
  <c r="CN32" i="10"/>
  <c r="CY81" i="10" s="1"/>
  <c r="DD32" i="10"/>
  <c r="DL37" i="10" s="1"/>
  <c r="DL96" i="10" s="1"/>
  <c r="DE32" i="10"/>
  <c r="DM37" i="10" s="1"/>
  <c r="DM96" i="10" s="1"/>
  <c r="DG32" i="10"/>
  <c r="DO37" i="10" s="1"/>
  <c r="DO96" i="10" s="1"/>
  <c r="DH32" i="10"/>
  <c r="DP37" i="10" s="1"/>
  <c r="DP96" i="10" s="1"/>
  <c r="CM33" i="10"/>
  <c r="CN33" i="10"/>
  <c r="DD33" i="10"/>
  <c r="DL38" i="10" s="1"/>
  <c r="DL105" i="10" s="1"/>
  <c r="DE33" i="10"/>
  <c r="DM38" i="10" s="1"/>
  <c r="DM105" i="10" s="1"/>
  <c r="DG33" i="10"/>
  <c r="DO38" i="10" s="1"/>
  <c r="DO105" i="10" s="1"/>
  <c r="CM34" i="10"/>
  <c r="CN34" i="10"/>
  <c r="CI211" i="10" s="1"/>
  <c r="DD34" i="10"/>
  <c r="DL44" i="10" s="1"/>
  <c r="DE34" i="10"/>
  <c r="DM44" i="10" s="1"/>
  <c r="DG34" i="10"/>
  <c r="DO44" i="10" s="1"/>
  <c r="CM35" i="10"/>
  <c r="CN35" i="10"/>
  <c r="CI212" i="10" s="1"/>
  <c r="DD35" i="10"/>
  <c r="DL45" i="10" s="1"/>
  <c r="DL72" i="10" s="1"/>
  <c r="DE35" i="10"/>
  <c r="DM45" i="10" s="1"/>
  <c r="DM72" i="10" s="1"/>
  <c r="DG35" i="10"/>
  <c r="DO45" i="10" s="1"/>
  <c r="DO72" i="10" s="1"/>
  <c r="CM36" i="10"/>
  <c r="CN36" i="10"/>
  <c r="CI213" i="10" s="1"/>
  <c r="DD36" i="10"/>
  <c r="DL46" i="10" s="1"/>
  <c r="DL83" i="10" s="1"/>
  <c r="DE36" i="10"/>
  <c r="DM46" i="10" s="1"/>
  <c r="DM83" i="10" s="1"/>
  <c r="DG36" i="10"/>
  <c r="DO46" i="10" s="1"/>
  <c r="DO83" i="10" s="1"/>
  <c r="CM37" i="10"/>
  <c r="CN37" i="10"/>
  <c r="DD37" i="10"/>
  <c r="DL47" i="10" s="1"/>
  <c r="DL97" i="10" s="1"/>
  <c r="DE37" i="10"/>
  <c r="DM47" i="10" s="1"/>
  <c r="DM97" i="10" s="1"/>
  <c r="DG37" i="10"/>
  <c r="DO47" i="10" s="1"/>
  <c r="DO97" i="10" s="1"/>
  <c r="CM38" i="10"/>
  <c r="CN38" i="10"/>
  <c r="DD38" i="10"/>
  <c r="DL48" i="10" s="1"/>
  <c r="DL106" i="10" s="1"/>
  <c r="DE38" i="10"/>
  <c r="DM48" i="10" s="1"/>
  <c r="DM106" i="10" s="1"/>
  <c r="DG38" i="10"/>
  <c r="DO48" i="10" s="1"/>
  <c r="DO106" i="10" s="1"/>
  <c r="CM39" i="10"/>
  <c r="CN39" i="10"/>
  <c r="CI214" i="10" s="1"/>
  <c r="DD39" i="10"/>
  <c r="DL56" i="10" s="1"/>
  <c r="DE39" i="10"/>
  <c r="DM56" i="10" s="1"/>
  <c r="DG39" i="10"/>
  <c r="DO56" i="10" s="1"/>
  <c r="CM40" i="10"/>
  <c r="CN40" i="10"/>
  <c r="CI215" i="10" s="1"/>
  <c r="DD40" i="10"/>
  <c r="DL57" i="10" s="1"/>
  <c r="DL84" i="10" s="1"/>
  <c r="DE40" i="10"/>
  <c r="DM57" i="10" s="1"/>
  <c r="DM84" i="10" s="1"/>
  <c r="DG40" i="10"/>
  <c r="DO57" i="10" s="1"/>
  <c r="DO84" i="10" s="1"/>
  <c r="CM41" i="10"/>
  <c r="CN41" i="10"/>
  <c r="DD41" i="10"/>
  <c r="DL58" i="10" s="1"/>
  <c r="DL98" i="10" s="1"/>
  <c r="DE41" i="10"/>
  <c r="DM58" i="10" s="1"/>
  <c r="DM98" i="10" s="1"/>
  <c r="DG41" i="10"/>
  <c r="DO58" i="10" s="1"/>
  <c r="DO98" i="10" s="1"/>
  <c r="DH42" i="10"/>
  <c r="DP59" i="10" s="1"/>
  <c r="DP107" i="10" s="1"/>
  <c r="DG42" i="10"/>
  <c r="DO59" i="10" s="1"/>
  <c r="DO107" i="10" s="1"/>
  <c r="DF42" i="10"/>
  <c r="DE42" i="10"/>
  <c r="DM59" i="10" s="1"/>
  <c r="DM107" i="10" s="1"/>
  <c r="DD42" i="10"/>
  <c r="DL59" i="10" s="1"/>
  <c r="DL107" i="10" s="1"/>
  <c r="CM42" i="10"/>
  <c r="CN42" i="10"/>
  <c r="DI42" i="10"/>
  <c r="DQ59" i="10" s="1"/>
  <c r="DQ107" i="10" s="1"/>
  <c r="DP85" i="10"/>
  <c r="DP75" i="10"/>
  <c r="DN85" i="10"/>
  <c r="DN75" i="10"/>
  <c r="DL121" i="10" s="1"/>
  <c r="DQ85" i="10"/>
  <c r="DQ75" i="10"/>
  <c r="DN77" i="10" s="1"/>
  <c r="DN121" i="10" s="1"/>
  <c r="DP109" i="10"/>
  <c r="DP87" i="10"/>
  <c r="CO172" i="10"/>
  <c r="DN80" i="10"/>
  <c r="DQ109" i="10"/>
  <c r="DQ87" i="10"/>
  <c r="CM165" i="10"/>
  <c r="DN74" i="10"/>
  <c r="DN92" i="10" s="1"/>
  <c r="DN99" i="10" s="1"/>
  <c r="DL123" i="10" s="1"/>
  <c r="DN101" i="10"/>
  <c r="DN123" i="10" s="1"/>
  <c r="CK172" i="10"/>
  <c r="DN86" i="10"/>
  <c r="DN93" i="10" s="1"/>
  <c r="CM159" i="10"/>
  <c r="DN94" i="10"/>
  <c r="DN110" i="10" s="1"/>
  <c r="CM43" i="10"/>
  <c r="CN43" i="10"/>
  <c r="CI216" i="10" s="1"/>
  <c r="DD43" i="10"/>
  <c r="DL68" i="10" s="1"/>
  <c r="DE43" i="10"/>
  <c r="DM68" i="10" s="1"/>
  <c r="DG43" i="10"/>
  <c r="DO68" i="10" s="1"/>
  <c r="CM44" i="10"/>
  <c r="CN44" i="10"/>
  <c r="DD44" i="10"/>
  <c r="DL69" i="10" s="1"/>
  <c r="DL108" i="10" s="1"/>
  <c r="DE44" i="10"/>
  <c r="DM69" i="10" s="1"/>
  <c r="DM108" i="10" s="1"/>
  <c r="DG44" i="10"/>
  <c r="DO69" i="10" s="1"/>
  <c r="DO108" i="10" s="1"/>
  <c r="CM45" i="10"/>
  <c r="CN45" i="10"/>
  <c r="DD45" i="10"/>
  <c r="DE45" i="10"/>
  <c r="DG45" i="10"/>
  <c r="DO80" i="10" s="1"/>
  <c r="CM46" i="10"/>
  <c r="CN46" i="10"/>
  <c r="DD46" i="10"/>
  <c r="DL74" i="10" s="1"/>
  <c r="DL92" i="10" s="1"/>
  <c r="DL99" i="10" s="1"/>
  <c r="DE46" i="10"/>
  <c r="DM74" i="10" s="1"/>
  <c r="DM92" i="10" s="1"/>
  <c r="DM99" i="10" s="1"/>
  <c r="DG46" i="10"/>
  <c r="DO74" i="10" s="1"/>
  <c r="DO92" i="10" s="1"/>
  <c r="CM47" i="10"/>
  <c r="CN47" i="10"/>
  <c r="DD47" i="10"/>
  <c r="DE47" i="10"/>
  <c r="DG47" i="10"/>
  <c r="DO86" i="10" s="1"/>
  <c r="DO93" i="10" s="1"/>
  <c r="CM48" i="10"/>
  <c r="CN48" i="10"/>
  <c r="DD48" i="10"/>
  <c r="DE48" i="10"/>
  <c r="DG48" i="10"/>
  <c r="DO94" i="10" s="1"/>
  <c r="DO110" i="10" s="1"/>
  <c r="CM73" i="10"/>
  <c r="CP73" i="10" s="1"/>
  <c r="CQ73" i="10" s="1"/>
  <c r="CU72" i="10" s="1"/>
  <c r="CN73" i="10"/>
  <c r="DM110" i="10" l="1"/>
  <c r="DM94" i="10"/>
  <c r="DL110" i="10"/>
  <c r="DL94" i="10"/>
  <c r="CI185" i="10"/>
  <c r="CY82" i="10"/>
  <c r="CH185" i="10"/>
  <c r="CZ82" i="10"/>
  <c r="CZ66" i="10"/>
  <c r="CT48" i="10"/>
  <c r="CU48" i="10" s="1"/>
  <c r="CS48" i="10"/>
  <c r="CP48" i="10"/>
  <c r="DM93" i="10"/>
  <c r="DM86" i="10"/>
  <c r="DL93" i="10"/>
  <c r="DL86" i="10"/>
  <c r="CI186" i="10"/>
  <c r="CY87" i="10"/>
  <c r="CH186" i="10"/>
  <c r="CZ87" i="10"/>
  <c r="CZ71" i="10"/>
  <c r="CT47" i="10"/>
  <c r="CU47" i="10" s="1"/>
  <c r="CS47" i="10"/>
  <c r="CP47" i="10"/>
  <c r="DO99" i="10"/>
  <c r="CI187" i="10"/>
  <c r="CY89" i="10"/>
  <c r="CH187" i="10"/>
  <c r="CZ89" i="10"/>
  <c r="CZ73" i="10"/>
  <c r="CT46" i="10"/>
  <c r="CU46" i="10" s="1"/>
  <c r="CS46" i="10"/>
  <c r="CP46" i="10"/>
  <c r="DO109" i="10"/>
  <c r="DM109" i="10"/>
  <c r="DM80" i="10"/>
  <c r="DM87" i="10" s="1"/>
  <c r="DL109" i="10"/>
  <c r="DL80" i="10"/>
  <c r="DL87" i="10" s="1"/>
  <c r="CI179" i="10"/>
  <c r="CY88" i="10"/>
  <c r="CH179" i="10"/>
  <c r="CZ88" i="10"/>
  <c r="CZ72" i="10"/>
  <c r="CT45" i="10"/>
  <c r="CU45" i="10" s="1"/>
  <c r="CS45" i="10"/>
  <c r="CP45" i="10"/>
  <c r="CI180" i="10"/>
  <c r="CY90" i="10"/>
  <c r="CH180" i="10"/>
  <c r="CZ90" i="10"/>
  <c r="CZ74" i="10"/>
  <c r="CT44" i="10"/>
  <c r="CU44" i="10" s="1"/>
  <c r="CS44" i="10"/>
  <c r="CP44" i="10"/>
  <c r="DO85" i="10"/>
  <c r="DO87" i="10" s="1"/>
  <c r="DM85" i="10"/>
  <c r="DM75" i="10"/>
  <c r="DL85" i="10"/>
  <c r="DL75" i="10"/>
  <c r="CH216" i="10"/>
  <c r="CT43" i="10"/>
  <c r="CU43" i="10" s="1"/>
  <c r="CS43" i="10"/>
  <c r="CP43" i="10"/>
  <c r="DN100" i="10"/>
  <c r="DM123" i="10" s="1"/>
  <c r="DN109" i="10"/>
  <c r="DN87" i="10"/>
  <c r="DL122" i="10" s="1"/>
  <c r="DN88" i="10"/>
  <c r="DM122" i="10" s="1"/>
  <c r="DN76" i="10"/>
  <c r="DM121" i="10" s="1"/>
  <c r="CI181" i="10"/>
  <c r="CY94" i="10"/>
  <c r="CH181" i="10"/>
  <c r="CZ94" i="10"/>
  <c r="CZ78" i="10"/>
  <c r="CT42" i="10"/>
  <c r="CU42" i="10" s="1"/>
  <c r="CS42" i="10"/>
  <c r="CP42" i="10"/>
  <c r="CO162" i="10"/>
  <c r="DN59" i="10"/>
  <c r="DN107" i="10" s="1"/>
  <c r="CI188" i="10"/>
  <c r="CY93" i="10"/>
  <c r="CH188" i="10"/>
  <c r="CZ93" i="10"/>
  <c r="CZ77" i="10"/>
  <c r="CT41" i="10"/>
  <c r="CU41" i="10" s="1"/>
  <c r="CS41" i="10"/>
  <c r="CP41" i="10"/>
  <c r="CH215" i="10"/>
  <c r="CT40" i="10"/>
  <c r="CU40" i="10" s="1"/>
  <c r="CS40" i="10"/>
  <c r="CP40" i="10"/>
  <c r="DO73" i="10"/>
  <c r="DO75" i="10" s="1"/>
  <c r="DM73" i="10"/>
  <c r="DM63" i="10"/>
  <c r="DL73" i="10"/>
  <c r="DL63" i="10"/>
  <c r="CH214" i="10"/>
  <c r="CT39" i="10"/>
  <c r="CU39" i="10" s="1"/>
  <c r="CS39" i="10"/>
  <c r="CP39" i="10"/>
  <c r="CI182" i="10"/>
  <c r="CY91" i="10"/>
  <c r="CH182" i="10"/>
  <c r="CZ91" i="10"/>
  <c r="CZ75" i="10"/>
  <c r="CT38" i="10"/>
  <c r="CU38" i="10" s="1"/>
  <c r="CS38" i="10"/>
  <c r="CP38" i="10"/>
  <c r="CI189" i="10"/>
  <c r="CY92" i="10"/>
  <c r="CH189" i="10"/>
  <c r="CZ92" i="10"/>
  <c r="CZ76" i="10"/>
  <c r="CT37" i="10"/>
  <c r="CU37" i="10" s="1"/>
  <c r="CS37" i="10"/>
  <c r="CP37" i="10"/>
  <c r="CH213" i="10"/>
  <c r="CT36" i="10"/>
  <c r="CU36" i="10" s="1"/>
  <c r="CS36" i="10"/>
  <c r="CP36" i="10"/>
  <c r="CH212" i="10"/>
  <c r="CT35" i="10"/>
  <c r="CU35" i="10" s="1"/>
  <c r="CS35" i="10"/>
  <c r="CP35" i="10"/>
  <c r="DO62" i="10"/>
  <c r="DO63" i="10" s="1"/>
  <c r="DO51" i="10"/>
  <c r="DM62" i="10"/>
  <c r="DM51" i="10"/>
  <c r="DL62" i="10"/>
  <c r="DL51" i="10"/>
  <c r="CH211" i="10"/>
  <c r="CT34" i="10"/>
  <c r="CU34" i="10" s="1"/>
  <c r="CS34" i="10"/>
  <c r="CP34" i="10"/>
  <c r="CI183" i="10"/>
  <c r="CY80" i="10"/>
  <c r="CH183" i="10"/>
  <c r="CZ80" i="10"/>
  <c r="CZ64" i="10"/>
  <c r="CC39" i="10"/>
  <c r="CT33" i="10"/>
  <c r="CU33" i="10" s="1"/>
  <c r="CS33" i="10"/>
  <c r="CP33" i="10"/>
  <c r="CH190" i="10"/>
  <c r="CZ81" i="10"/>
  <c r="CZ65" i="10"/>
  <c r="CT32" i="10"/>
  <c r="CU32" i="10" s="1"/>
  <c r="CS32" i="10"/>
  <c r="CP32" i="10"/>
  <c r="CH207" i="10"/>
  <c r="CT31" i="10"/>
  <c r="CU31" i="10" s="1"/>
  <c r="CS31" i="10"/>
  <c r="CP31" i="10"/>
  <c r="CH206" i="10"/>
  <c r="CC38" i="10"/>
  <c r="CT30" i="10"/>
  <c r="CU30" i="10" s="1"/>
  <c r="CS30" i="10"/>
  <c r="CP30" i="10"/>
  <c r="CH205" i="10"/>
  <c r="CC40" i="10"/>
  <c r="CT29" i="10"/>
  <c r="CU29" i="10" s="1"/>
  <c r="CS29" i="10"/>
  <c r="CP29" i="10"/>
  <c r="CH204" i="10"/>
  <c r="CC37" i="10"/>
  <c r="CT28" i="10"/>
  <c r="CU28" i="10" s="1"/>
  <c r="CS28" i="10"/>
  <c r="CP28" i="10"/>
  <c r="DO111" i="10"/>
  <c r="CI184" i="10"/>
  <c r="CY84" i="10"/>
  <c r="CH184" i="10"/>
  <c r="CZ84" i="10"/>
  <c r="CZ68" i="10"/>
  <c r="CC35" i="10"/>
  <c r="CT27" i="10"/>
  <c r="CU27" i="10" s="1"/>
  <c r="CW51" i="10" s="1"/>
  <c r="DA104" i="10" s="1"/>
  <c r="CS27" i="10"/>
  <c r="CP27" i="10"/>
  <c r="CX51" i="10" s="1"/>
  <c r="CI191" i="10"/>
  <c r="CY83" i="10"/>
  <c r="CH191" i="10"/>
  <c r="CZ83" i="10"/>
  <c r="CZ67" i="10"/>
  <c r="CT26" i="10"/>
  <c r="CU26" i="10" s="1"/>
  <c r="CW50" i="10" s="1"/>
  <c r="DA103" i="10" s="1"/>
  <c r="CS26" i="10"/>
  <c r="CP26" i="10"/>
  <c r="CX50" i="10" s="1"/>
  <c r="CI200" i="10"/>
  <c r="CY86" i="10"/>
  <c r="CH200" i="10"/>
  <c r="CZ86" i="10"/>
  <c r="CZ70" i="10"/>
  <c r="CT25" i="10"/>
  <c r="CU25" i="10" s="1"/>
  <c r="CW49" i="10" s="1"/>
  <c r="DA102" i="10" s="1"/>
  <c r="CS25" i="10"/>
  <c r="CP25" i="10"/>
  <c r="CX49" i="10" s="1"/>
  <c r="CH199" i="10"/>
  <c r="CC34" i="10"/>
  <c r="CT24" i="10"/>
  <c r="CU24" i="10" s="1"/>
  <c r="CW48" i="10" s="1"/>
  <c r="DA101" i="10" s="1"/>
  <c r="CS24" i="10"/>
  <c r="CP24" i="10"/>
  <c r="CX48" i="10" s="1"/>
  <c r="CH198" i="10"/>
  <c r="CC36" i="10"/>
  <c r="CT23" i="10"/>
  <c r="CU23" i="10" s="1"/>
  <c r="CW47" i="10" s="1"/>
  <c r="DA100" i="10" s="1"/>
  <c r="CS23" i="10"/>
  <c r="CP23" i="10"/>
  <c r="CX47" i="10" s="1"/>
  <c r="CH197" i="10"/>
  <c r="CC33" i="10"/>
  <c r="CT22" i="10"/>
  <c r="CU22" i="10" s="1"/>
  <c r="CW46" i="10" s="1"/>
  <c r="DA99" i="10" s="1"/>
  <c r="CS22" i="10"/>
  <c r="CP22" i="10"/>
  <c r="CX46" i="10" s="1"/>
  <c r="DO32" i="10"/>
  <c r="DO39" i="10" s="1"/>
  <c r="DO27" i="10"/>
  <c r="DM32" i="10"/>
  <c r="DM39" i="10" s="1"/>
  <c r="DM27" i="10"/>
  <c r="DL32" i="10"/>
  <c r="DL39" i="10" s="1"/>
  <c r="DL27" i="10"/>
  <c r="CI196" i="10"/>
  <c r="CY85" i="10"/>
  <c r="CH196" i="10"/>
  <c r="CZ85" i="10"/>
  <c r="CZ69" i="10"/>
  <c r="CT21" i="10"/>
  <c r="CS21" i="10"/>
  <c r="CX44" i="10" s="1"/>
  <c r="CP21" i="10"/>
  <c r="CX45" i="10" s="1"/>
  <c r="DN64" i="10"/>
  <c r="DM120" i="10" s="1"/>
  <c r="DN62" i="10"/>
  <c r="DN51" i="10"/>
  <c r="DL119" i="10" s="1"/>
  <c r="DN52" i="10"/>
  <c r="DM119" i="10" s="1"/>
  <c r="DN112" i="10"/>
  <c r="DM124" i="10" s="1"/>
  <c r="F70" i="10"/>
  <c r="AD10" i="10" s="1"/>
  <c r="AD34" i="10"/>
  <c r="AD36" i="10" s="1"/>
  <c r="F69" i="10"/>
  <c r="AC10" i="10" s="1"/>
  <c r="AC34" i="10"/>
  <c r="AC36" i="10" s="1"/>
  <c r="F68" i="10"/>
  <c r="AB10" i="10" s="1"/>
  <c r="AB34" i="10"/>
  <c r="AB36" i="10" s="1"/>
  <c r="F67" i="10"/>
  <c r="AA10" i="10" s="1"/>
  <c r="AA34" i="10"/>
  <c r="AA36" i="10" s="1"/>
  <c r="F66" i="10"/>
  <c r="Z10" i="10" s="1"/>
  <c r="Z34" i="10"/>
  <c r="Z36" i="10" s="1"/>
  <c r="F65" i="10"/>
  <c r="Y10" i="10" s="1"/>
  <c r="Y34" i="10"/>
  <c r="Y36" i="10" s="1"/>
  <c r="F64" i="10"/>
  <c r="X10" i="10" s="1"/>
  <c r="X34" i="10"/>
  <c r="X36" i="10" s="1"/>
  <c r="F63" i="10"/>
  <c r="W10" i="10" s="1"/>
  <c r="W34" i="10"/>
  <c r="W36" i="10" s="1"/>
  <c r="F62" i="10"/>
  <c r="V10" i="10" s="1"/>
  <c r="V34" i="10"/>
  <c r="V36" i="10" s="1"/>
  <c r="F61" i="10"/>
  <c r="U10" i="10" s="1"/>
  <c r="U34" i="10"/>
  <c r="U36" i="10" s="1"/>
  <c r="F60" i="10"/>
  <c r="T10" i="10" s="1"/>
  <c r="T34" i="10"/>
  <c r="T36" i="10" s="1"/>
  <c r="F59" i="10"/>
  <c r="S10" i="10" s="1"/>
  <c r="S34" i="10"/>
  <c r="S36" i="10" s="1"/>
  <c r="F58" i="10"/>
  <c r="R10" i="10" s="1"/>
  <c r="R34" i="10"/>
  <c r="R36" i="10" s="1"/>
  <c r="F57" i="10"/>
  <c r="Q10" i="10" s="1"/>
  <c r="Q34" i="10"/>
  <c r="Q36" i="10" s="1"/>
  <c r="F56" i="10"/>
  <c r="P10" i="10" s="1"/>
  <c r="P34" i="10"/>
  <c r="P36" i="10" s="1"/>
  <c r="F55" i="10"/>
  <c r="O10" i="10" s="1"/>
  <c r="O34" i="10"/>
  <c r="O36" i="10" s="1"/>
  <c r="F54" i="10"/>
  <c r="N10" i="10" s="1"/>
  <c r="N34" i="10"/>
  <c r="N36" i="10" s="1"/>
  <c r="F39" i="10" s="1"/>
  <c r="F53" i="10"/>
  <c r="M10" i="10" s="1"/>
  <c r="M34" i="10"/>
  <c r="M36" i="10" s="1"/>
  <c r="F52" i="10"/>
  <c r="L10" i="10" s="1"/>
  <c r="L34" i="10"/>
  <c r="L36" i="10" s="1"/>
  <c r="F51" i="10"/>
  <c r="K10" i="10" s="1"/>
  <c r="K34" i="10"/>
  <c r="F50" i="10"/>
  <c r="J10" i="10" s="1"/>
  <c r="J34" i="10"/>
  <c r="J36" i="10" s="1"/>
  <c r="F49" i="10"/>
  <c r="I10" i="10" s="1"/>
  <c r="I34" i="10"/>
  <c r="I36" i="10" s="1"/>
  <c r="F48" i="10"/>
  <c r="H10" i="10" s="1"/>
  <c r="H34" i="10"/>
  <c r="H36" i="10" s="1"/>
  <c r="F47" i="10"/>
  <c r="G10" i="10" s="1"/>
  <c r="G34" i="10"/>
  <c r="G36" i="10" s="1"/>
  <c r="F46" i="10"/>
  <c r="F10" i="10" s="1"/>
  <c r="F34" i="10"/>
  <c r="F36" i="10" s="1"/>
  <c r="J39" i="10" s="1"/>
  <c r="F45" i="10"/>
  <c r="E10" i="10" s="1"/>
  <c r="E34" i="10"/>
  <c r="E36" i="10" s="1"/>
  <c r="F44" i="10"/>
  <c r="D10" i="10" s="1"/>
  <c r="D34" i="10"/>
  <c r="D36" i="10" s="1"/>
  <c r="F43" i="10"/>
  <c r="C10" i="10" s="1"/>
  <c r="C34" i="10"/>
  <c r="DN32" i="10"/>
  <c r="DN39" i="10" s="1"/>
  <c r="DL118" i="10" s="1"/>
  <c r="DN27" i="10"/>
  <c r="DL117" i="10" s="1"/>
  <c r="DN28" i="10"/>
  <c r="DM117" i="10" s="1"/>
  <c r="DN40" i="10"/>
  <c r="DM118" i="10" s="1"/>
  <c r="DN41" i="10" l="1"/>
  <c r="DN118" i="10" s="1"/>
  <c r="DN29" i="10"/>
  <c r="DN117" i="10" s="1"/>
  <c r="C36" i="10"/>
  <c r="G67" i="10"/>
  <c r="G66" i="10"/>
  <c r="G65" i="10"/>
  <c r="G64" i="10"/>
  <c r="H62" i="10"/>
  <c r="H56" i="10"/>
  <c r="H46" i="10"/>
  <c r="K36" i="10"/>
  <c r="G63" i="10"/>
  <c r="G62" i="10"/>
  <c r="I62" i="10" s="1"/>
  <c r="G61" i="10"/>
  <c r="G60" i="10"/>
  <c r="G59" i="10"/>
  <c r="G58" i="10"/>
  <c r="H54" i="10"/>
  <c r="DN53" i="10"/>
  <c r="DN119" i="10" s="1"/>
  <c r="DA121" i="10"/>
  <c r="DA110" i="10"/>
  <c r="CZ54" i="10"/>
  <c r="CM54" i="10"/>
  <c r="CP54" i="10" s="1"/>
  <c r="CQ54" i="10" s="1"/>
  <c r="CY45" i="10"/>
  <c r="CN54" i="10" s="1"/>
  <c r="AT4" i="10"/>
  <c r="DA120" i="10"/>
  <c r="DA109" i="10"/>
  <c r="CM56" i="10"/>
  <c r="CP56" i="10" s="1"/>
  <c r="CQ56" i="10" s="1"/>
  <c r="CZ53" i="10"/>
  <c r="CY44" i="10"/>
  <c r="CN56" i="10" s="1"/>
  <c r="AT3" i="10"/>
  <c r="CW44" i="10"/>
  <c r="DA97" i="10" s="1"/>
  <c r="CU21" i="10"/>
  <c r="CW45" i="10" s="1"/>
  <c r="DA98" i="10" s="1"/>
  <c r="DA122" i="10"/>
  <c r="DA111" i="10"/>
  <c r="CZ55" i="10"/>
  <c r="CM53" i="10"/>
  <c r="CP53" i="10" s="1"/>
  <c r="CQ53" i="10" s="1"/>
  <c r="CY46" i="10"/>
  <c r="CN53" i="10" s="1"/>
  <c r="AT5" i="10"/>
  <c r="DA123" i="10"/>
  <c r="DA112" i="10"/>
  <c r="CM58" i="10"/>
  <c r="CP58" i="10" s="1"/>
  <c r="CQ58" i="10" s="1"/>
  <c r="CZ56" i="10"/>
  <c r="CY47" i="10"/>
  <c r="CN58" i="10" s="1"/>
  <c r="AT6" i="10"/>
  <c r="DA124" i="10"/>
  <c r="DA113" i="10"/>
  <c r="CZ57" i="10"/>
  <c r="CM55" i="10"/>
  <c r="CP55" i="10" s="1"/>
  <c r="CQ55" i="10" s="1"/>
  <c r="CY48" i="10"/>
  <c r="CN55" i="10" s="1"/>
  <c r="AT10" i="10"/>
  <c r="DA125" i="10"/>
  <c r="DA114" i="10"/>
  <c r="CM59" i="10"/>
  <c r="CP59" i="10" s="1"/>
  <c r="CQ59" i="10" s="1"/>
  <c r="CZ58" i="10"/>
  <c r="CY49" i="10"/>
  <c r="CN59" i="10" s="1"/>
  <c r="AT8" i="10"/>
  <c r="DA126" i="10"/>
  <c r="DA115" i="10"/>
  <c r="CM60" i="10"/>
  <c r="CP60" i="10" s="1"/>
  <c r="CQ60" i="10" s="1"/>
  <c r="CZ59" i="10"/>
  <c r="CY50" i="10"/>
  <c r="CN60" i="10" s="1"/>
  <c r="AT9" i="10"/>
  <c r="DA127" i="10"/>
  <c r="DA116" i="10"/>
  <c r="CZ60" i="10"/>
  <c r="CM57" i="10"/>
  <c r="CP57" i="10" s="1"/>
  <c r="CQ57" i="10" s="1"/>
  <c r="CY51" i="10"/>
  <c r="CN57" i="10" s="1"/>
  <c r="AT7" i="10"/>
  <c r="DB78" i="10"/>
  <c r="DC78" i="10" s="1"/>
  <c r="DD78" i="10" s="1"/>
  <c r="DB77" i="10"/>
  <c r="DC77" i="10" s="1"/>
  <c r="DD77" i="10" s="1"/>
  <c r="DB76" i="10"/>
  <c r="DC76" i="10" s="1"/>
  <c r="DD76" i="10" s="1"/>
  <c r="DB75" i="10"/>
  <c r="DC75" i="10" s="1"/>
  <c r="DD75" i="10" s="1"/>
  <c r="DB74" i="10"/>
  <c r="DC74" i="10" s="1"/>
  <c r="DD74" i="10" s="1"/>
  <c r="DB73" i="10"/>
  <c r="DC73" i="10" s="1"/>
  <c r="DD73" i="10" s="1"/>
  <c r="DB72" i="10"/>
  <c r="DC72" i="10" s="1"/>
  <c r="DD72" i="10" s="1"/>
  <c r="DB71" i="10"/>
  <c r="DC71" i="10" s="1"/>
  <c r="DD71" i="10" s="1"/>
  <c r="DB70" i="10"/>
  <c r="DC70" i="10" s="1"/>
  <c r="DD70" i="10" s="1"/>
  <c r="DB69" i="10"/>
  <c r="DC69" i="10" s="1"/>
  <c r="DD69" i="10" s="1"/>
  <c r="DB68" i="10"/>
  <c r="DC68" i="10" s="1"/>
  <c r="DD68" i="10" s="1"/>
  <c r="DB67" i="10"/>
  <c r="DC67" i="10" s="1"/>
  <c r="DD67" i="10" s="1"/>
  <c r="DB66" i="10"/>
  <c r="DC66" i="10" s="1"/>
  <c r="DD66" i="10" s="1"/>
  <c r="DB65" i="10"/>
  <c r="DC65" i="10" s="1"/>
  <c r="DD65" i="10" s="1"/>
  <c r="DB64" i="10"/>
  <c r="DC64" i="10" s="1"/>
  <c r="DD64" i="10" s="1"/>
  <c r="DB94" i="10"/>
  <c r="DC94" i="10" s="1"/>
  <c r="DD94" i="10" s="1"/>
  <c r="DB93" i="10"/>
  <c r="DC93" i="10" s="1"/>
  <c r="DD93" i="10" s="1"/>
  <c r="DB92" i="10"/>
  <c r="DC92" i="10" s="1"/>
  <c r="DD92" i="10" s="1"/>
  <c r="DB91" i="10"/>
  <c r="DC91" i="10" s="1"/>
  <c r="DD91" i="10" s="1"/>
  <c r="DB90" i="10"/>
  <c r="DC90" i="10" s="1"/>
  <c r="DD90" i="10" s="1"/>
  <c r="DB89" i="10"/>
  <c r="DC89" i="10" s="1"/>
  <c r="DD89" i="10" s="1"/>
  <c r="DB88" i="10"/>
  <c r="DC88" i="10" s="1"/>
  <c r="DD88" i="10" s="1"/>
  <c r="DB87" i="10"/>
  <c r="DC87" i="10" s="1"/>
  <c r="DD87" i="10" s="1"/>
  <c r="DB86" i="10"/>
  <c r="DC86" i="10" s="1"/>
  <c r="DD86" i="10" s="1"/>
  <c r="DB85" i="10"/>
  <c r="DC85" i="10" s="1"/>
  <c r="DD85" i="10" s="1"/>
  <c r="DB84" i="10"/>
  <c r="DC84" i="10" s="1"/>
  <c r="DD84" i="10" s="1"/>
  <c r="DB83" i="10"/>
  <c r="DC83" i="10" s="1"/>
  <c r="DD83" i="10" s="1"/>
  <c r="DB82" i="10"/>
  <c r="DC82" i="10" s="1"/>
  <c r="DD82" i="10" s="1"/>
  <c r="DB81" i="10"/>
  <c r="DC81" i="10" s="1"/>
  <c r="DD81" i="10" s="1"/>
  <c r="DB80" i="10"/>
  <c r="DC80" i="10" s="1"/>
  <c r="DD80" i="10" s="1"/>
  <c r="DN89" i="10"/>
  <c r="DN122" i="10" s="1"/>
  <c r="CU60" i="10" l="1"/>
  <c r="CY60" i="10" s="1"/>
  <c r="AU7" i="10"/>
  <c r="AV7" i="10" s="1"/>
  <c r="CU59" i="10"/>
  <c r="CY59" i="10" s="1"/>
  <c r="AU9" i="10"/>
  <c r="CU58" i="10"/>
  <c r="CY58" i="10" s="1"/>
  <c r="AU8" i="10"/>
  <c r="AV8" i="10" s="1"/>
  <c r="CU57" i="10"/>
  <c r="CY57" i="10" s="1"/>
  <c r="AU10" i="10"/>
  <c r="AV10" i="10" s="1"/>
  <c r="CU56" i="10"/>
  <c r="CY56" i="10" s="1"/>
  <c r="AU6" i="10"/>
  <c r="AV6" i="10" s="1"/>
  <c r="CU55" i="10"/>
  <c r="CY55" i="10" s="1"/>
  <c r="AU5" i="10"/>
  <c r="DC104" i="10"/>
  <c r="DC103" i="10"/>
  <c r="DC102" i="10"/>
  <c r="DC101" i="10"/>
  <c r="DC100" i="10"/>
  <c r="DC99" i="10"/>
  <c r="DC98" i="10"/>
  <c r="DC97" i="10"/>
  <c r="CU53" i="10"/>
  <c r="CY53" i="10" s="1"/>
  <c r="AU3" i="10"/>
  <c r="DC116" i="10"/>
  <c r="DC115" i="10"/>
  <c r="DC114" i="10"/>
  <c r="DC113" i="10"/>
  <c r="DC112" i="10"/>
  <c r="DC111" i="10"/>
  <c r="DC110" i="10"/>
  <c r="DC109" i="10"/>
  <c r="DC127" i="10"/>
  <c r="DD127" i="10" s="1"/>
  <c r="DE127" i="10" s="1"/>
  <c r="DC126" i="10"/>
  <c r="DD126" i="10" s="1"/>
  <c r="DE126" i="10" s="1"/>
  <c r="DC125" i="10"/>
  <c r="DD125" i="10" s="1"/>
  <c r="DE125" i="10" s="1"/>
  <c r="DC124" i="10"/>
  <c r="DD124" i="10" s="1"/>
  <c r="DE124" i="10" s="1"/>
  <c r="DC123" i="10"/>
  <c r="DD123" i="10" s="1"/>
  <c r="DE123" i="10" s="1"/>
  <c r="DC122" i="10"/>
  <c r="DD122" i="10" s="1"/>
  <c r="DE122" i="10" s="1"/>
  <c r="DC121" i="10"/>
  <c r="DD121" i="10" s="1"/>
  <c r="DE121" i="10" s="1"/>
  <c r="DC120" i="10"/>
  <c r="DD120" i="10" s="1"/>
  <c r="DE120" i="10" s="1"/>
  <c r="CU54" i="10"/>
  <c r="CY54" i="10" s="1"/>
  <c r="AU4" i="10"/>
  <c r="AV4" i="10" s="1"/>
  <c r="I40" i="10"/>
  <c r="I39" i="10" s="1"/>
  <c r="H40" i="10"/>
  <c r="G40" i="10"/>
  <c r="G39" i="10" s="1"/>
  <c r="E40" i="10"/>
  <c r="E39" i="10" s="1"/>
  <c r="D40" i="10"/>
  <c r="D39" i="10" s="1"/>
  <c r="K40" i="10"/>
  <c r="K39" i="10" s="1"/>
  <c r="H39" i="10"/>
  <c r="H58" i="10" l="1"/>
  <c r="I58" i="10" s="1"/>
  <c r="H51" i="10"/>
  <c r="G47" i="10"/>
  <c r="G46" i="10"/>
  <c r="I46" i="10" s="1"/>
  <c r="G45" i="10"/>
  <c r="G44" i="10"/>
  <c r="G43" i="10"/>
  <c r="H68" i="10"/>
  <c r="H64" i="10"/>
  <c r="I64" i="10" s="1"/>
  <c r="H59" i="10"/>
  <c r="I59" i="10" s="1"/>
  <c r="H52" i="10"/>
  <c r="G49" i="10"/>
  <c r="G48" i="10"/>
  <c r="H43" i="10"/>
  <c r="H70" i="10"/>
  <c r="H66" i="10"/>
  <c r="I66" i="10" s="1"/>
  <c r="H61" i="10"/>
  <c r="I61" i="10" s="1"/>
  <c r="H55" i="10"/>
  <c r="H50" i="10"/>
  <c r="H49" i="10"/>
  <c r="H45" i="10"/>
  <c r="G70" i="10"/>
  <c r="I70" i="10" s="1"/>
  <c r="G69" i="10"/>
  <c r="G68" i="10"/>
  <c r="I68" i="10" s="1"/>
  <c r="H67" i="10"/>
  <c r="I67" i="10" s="1"/>
  <c r="H63" i="10"/>
  <c r="I63" i="10" s="1"/>
  <c r="H57" i="10"/>
  <c r="H47" i="10"/>
  <c r="Q40" i="10"/>
  <c r="Q39" i="10"/>
  <c r="E62" i="10" s="1"/>
  <c r="V11" i="10" s="1"/>
  <c r="G57" i="10"/>
  <c r="I57" i="10" s="1"/>
  <c r="E57" i="10" s="1"/>
  <c r="Q11" i="10" s="1"/>
  <c r="G56" i="10"/>
  <c r="I56" i="10" s="1"/>
  <c r="E56" i="10" s="1"/>
  <c r="P11" i="10" s="1"/>
  <c r="G55" i="10"/>
  <c r="I55" i="10" s="1"/>
  <c r="E55" i="10" s="1"/>
  <c r="O11" i="10" s="1"/>
  <c r="G54" i="10"/>
  <c r="I54" i="10" s="1"/>
  <c r="E54" i="10" s="1"/>
  <c r="N11" i="10" s="1"/>
  <c r="G53" i="10"/>
  <c r="G52" i="10"/>
  <c r="I52" i="10" s="1"/>
  <c r="E52" i="10" s="1"/>
  <c r="L11" i="10" s="1"/>
  <c r="G51" i="10"/>
  <c r="I51" i="10" s="1"/>
  <c r="E51" i="10" s="1"/>
  <c r="K11" i="10" s="1"/>
  <c r="H69" i="10"/>
  <c r="H65" i="10"/>
  <c r="I65" i="10" s="1"/>
  <c r="E65" i="10" s="1"/>
  <c r="Y11" i="10" s="1"/>
  <c r="H60" i="10"/>
  <c r="I60" i="10" s="1"/>
  <c r="E60" i="10" s="1"/>
  <c r="T11" i="10" s="1"/>
  <c r="H53" i="10"/>
  <c r="G50" i="10"/>
  <c r="I50" i="10" s="1"/>
  <c r="E50" i="10" s="1"/>
  <c r="J11" i="10" s="1"/>
  <c r="H48" i="10"/>
  <c r="H44" i="10"/>
  <c r="DD109" i="10"/>
  <c r="DE109" i="10" s="1"/>
  <c r="CB24" i="10" s="1"/>
  <c r="CC24" i="10"/>
  <c r="DD110" i="10"/>
  <c r="DE110" i="10" s="1"/>
  <c r="CB25" i="10" s="1"/>
  <c r="CC25" i="10"/>
  <c r="DD111" i="10"/>
  <c r="DE111" i="10" s="1"/>
  <c r="CB26" i="10" s="1"/>
  <c r="CC26" i="10"/>
  <c r="DD112" i="10"/>
  <c r="DE112" i="10" s="1"/>
  <c r="CB27" i="10" s="1"/>
  <c r="CC27" i="10"/>
  <c r="DD113" i="10"/>
  <c r="DE113" i="10" s="1"/>
  <c r="CB28" i="10" s="1"/>
  <c r="CC28" i="10"/>
  <c r="DD114" i="10"/>
  <c r="DE114" i="10" s="1"/>
  <c r="CB29" i="10" s="1"/>
  <c r="CC29" i="10"/>
  <c r="DD115" i="10"/>
  <c r="DE115" i="10" s="1"/>
  <c r="CB30" i="10" s="1"/>
  <c r="CC30" i="10"/>
  <c r="DD116" i="10"/>
  <c r="DE116" i="10" s="1"/>
  <c r="CB31" i="10" s="1"/>
  <c r="CC31" i="10"/>
  <c r="AV3" i="10"/>
  <c r="AS3" i="10"/>
  <c r="DD97" i="10"/>
  <c r="DE97" i="10" s="1"/>
  <c r="AF9" i="10" s="1"/>
  <c r="AF10" i="10"/>
  <c r="DD98" i="10"/>
  <c r="DE98" i="10" s="1"/>
  <c r="AG9" i="10" s="1"/>
  <c r="AG10" i="10"/>
  <c r="DD99" i="10"/>
  <c r="DE99" i="10" s="1"/>
  <c r="AH9" i="10" s="1"/>
  <c r="AH10" i="10"/>
  <c r="DD100" i="10"/>
  <c r="DE100" i="10" s="1"/>
  <c r="AI9" i="10" s="1"/>
  <c r="AI10" i="10"/>
  <c r="DD101" i="10"/>
  <c r="DE101" i="10" s="1"/>
  <c r="AJ9" i="10" s="1"/>
  <c r="AJ10" i="10"/>
  <c r="DD102" i="10"/>
  <c r="DE102" i="10" s="1"/>
  <c r="AK9" i="10" s="1"/>
  <c r="AK10" i="10"/>
  <c r="DD103" i="10"/>
  <c r="DE103" i="10" s="1"/>
  <c r="AL9" i="10" s="1"/>
  <c r="AL10" i="10"/>
  <c r="DD104" i="10"/>
  <c r="DE104" i="10" s="1"/>
  <c r="AM9" i="10" s="1"/>
  <c r="AM10" i="10"/>
  <c r="AV5" i="10"/>
  <c r="AS5" i="10"/>
  <c r="AV9" i="10"/>
  <c r="AS9" i="10"/>
  <c r="I53" i="10" l="1"/>
  <c r="E53" i="10" s="1"/>
  <c r="M11" i="10" s="1"/>
  <c r="E63" i="10"/>
  <c r="W11" i="10" s="1"/>
  <c r="E67" i="10"/>
  <c r="AA11" i="10" s="1"/>
  <c r="E68" i="10"/>
  <c r="AB11" i="10" s="1"/>
  <c r="I69" i="10"/>
  <c r="E69" i="10" s="1"/>
  <c r="AC11" i="10" s="1"/>
  <c r="E70" i="10"/>
  <c r="AD11" i="10" s="1"/>
  <c r="E61" i="10"/>
  <c r="U11" i="10" s="1"/>
  <c r="E66" i="10"/>
  <c r="Z11" i="10" s="1"/>
  <c r="I48" i="10"/>
  <c r="E48" i="10" s="1"/>
  <c r="H11" i="10" s="1"/>
  <c r="I49" i="10"/>
  <c r="E49" i="10" s="1"/>
  <c r="I11" i="10" s="1"/>
  <c r="E59" i="10"/>
  <c r="S11" i="10" s="1"/>
  <c r="E64" i="10"/>
  <c r="X11" i="10" s="1"/>
  <c r="I43" i="10"/>
  <c r="E43" i="10" s="1"/>
  <c r="C11" i="10" s="1"/>
  <c r="I44" i="10"/>
  <c r="E44" i="10" s="1"/>
  <c r="D11" i="10" s="1"/>
  <c r="I45" i="10"/>
  <c r="E45" i="10" s="1"/>
  <c r="E11" i="10" s="1"/>
  <c r="E46" i="10"/>
  <c r="F11" i="10" s="1"/>
  <c r="I47" i="10"/>
  <c r="E47" i="10" s="1"/>
  <c r="G11" i="10" s="1"/>
  <c r="E58" i="10"/>
  <c r="R11" i="10" s="1"/>
</calcChain>
</file>

<file path=xl/sharedStrings.xml><?xml version="1.0" encoding="utf-8"?>
<sst xmlns="http://schemas.openxmlformats.org/spreadsheetml/2006/main" count="867" uniqueCount="340">
  <si>
    <t>High</t>
  </si>
  <si>
    <t>Low</t>
  </si>
  <si>
    <t>Bid</t>
  </si>
  <si>
    <t>Ask</t>
  </si>
  <si>
    <t>Buyer</t>
  </si>
  <si>
    <t>Seller</t>
  </si>
  <si>
    <t>EURGBP</t>
  </si>
  <si>
    <t>EURAUD</t>
  </si>
  <si>
    <t>EURNZD</t>
  </si>
  <si>
    <t>EURCAD</t>
  </si>
  <si>
    <t>EURCHF</t>
  </si>
  <si>
    <t>EURUSD</t>
  </si>
  <si>
    <t>EURJPY</t>
  </si>
  <si>
    <t>GBPAUD</t>
  </si>
  <si>
    <t>GBPNZD</t>
  </si>
  <si>
    <t>GBPCAD</t>
  </si>
  <si>
    <t>GBPCHF</t>
  </si>
  <si>
    <t>GBPUSD</t>
  </si>
  <si>
    <t>GBPJPY</t>
  </si>
  <si>
    <t>AUDNZD</t>
  </si>
  <si>
    <t>AUDCAD</t>
  </si>
  <si>
    <t>AUDCHF</t>
  </si>
  <si>
    <t>AUDUSD</t>
  </si>
  <si>
    <t>AUDJPY</t>
  </si>
  <si>
    <t>NZDCAD</t>
  </si>
  <si>
    <t>NZDCHF</t>
  </si>
  <si>
    <t>NZDUSD</t>
  </si>
  <si>
    <t>NZDJPY</t>
  </si>
  <si>
    <t>CADCHF</t>
  </si>
  <si>
    <t>CADJPY</t>
  </si>
  <si>
    <t>CHFJPY</t>
  </si>
  <si>
    <t>USDCAD</t>
  </si>
  <si>
    <t>USDCHF</t>
  </si>
  <si>
    <t>USDJPY</t>
  </si>
  <si>
    <t>Currencies</t>
  </si>
  <si>
    <t>Broker Time</t>
  </si>
  <si>
    <t>PAIR</t>
  </si>
  <si>
    <t>BUYER</t>
  </si>
  <si>
    <t>SELLER</t>
  </si>
  <si>
    <t>100%-buyer</t>
  </si>
  <si>
    <t>Spread</t>
  </si>
  <si>
    <t>left</t>
  </si>
  <si>
    <t>right</t>
  </si>
  <si>
    <t>strg</t>
  </si>
  <si>
    <t>EUR</t>
  </si>
  <si>
    <t>GBP</t>
  </si>
  <si>
    <t>AUD</t>
  </si>
  <si>
    <t>NZD</t>
  </si>
  <si>
    <t>CAD</t>
  </si>
  <si>
    <t>CHF</t>
  </si>
  <si>
    <t>index</t>
  </si>
  <si>
    <t>USD</t>
  </si>
  <si>
    <t>Currencies Index</t>
  </si>
  <si>
    <t>JPY</t>
  </si>
  <si>
    <t>MN1</t>
  </si>
  <si>
    <t>W1</t>
  </si>
  <si>
    <t>D1</t>
  </si>
  <si>
    <t>Hi2Lo</t>
  </si>
  <si>
    <t>pip2hi</t>
  </si>
  <si>
    <t>pip2lo</t>
  </si>
  <si>
    <t>HI</t>
  </si>
  <si>
    <t>LO</t>
  </si>
  <si>
    <t>mmt</t>
  </si>
  <si>
    <t>ZAR</t>
  </si>
  <si>
    <t>Australian Dollar</t>
  </si>
  <si>
    <t>6A</t>
  </si>
  <si>
    <t>6A_CONT'</t>
  </si>
  <si>
    <t>EURx</t>
  </si>
  <si>
    <t>British Pound</t>
  </si>
  <si>
    <t>6B</t>
  </si>
  <si>
    <t>6B_CONT'</t>
  </si>
  <si>
    <t>GBPx</t>
  </si>
  <si>
    <t>Canadian Dollar</t>
  </si>
  <si>
    <t>6C</t>
  </si>
  <si>
    <t>6C_CONT'</t>
  </si>
  <si>
    <t>AUDx</t>
  </si>
  <si>
    <t>Euro FX Currencies</t>
  </si>
  <si>
    <t>6E</t>
  </si>
  <si>
    <t>6E_CONT'</t>
  </si>
  <si>
    <t>NZDx</t>
  </si>
  <si>
    <t>Japanese Yen</t>
  </si>
  <si>
    <t>6J</t>
  </si>
  <si>
    <t>6J_CONT'</t>
  </si>
  <si>
    <t>CADx</t>
  </si>
  <si>
    <t>New Zealand Dollar</t>
  </si>
  <si>
    <t>6N</t>
  </si>
  <si>
    <t>6N_CONT'</t>
  </si>
  <si>
    <t>CHFx</t>
  </si>
  <si>
    <t>Swiss Franc</t>
  </si>
  <si>
    <t>6S</t>
  </si>
  <si>
    <t>6S_CONT'</t>
  </si>
  <si>
    <t>USDx</t>
  </si>
  <si>
    <t>NYBOT US Dollar Index</t>
  </si>
  <si>
    <t>DX</t>
  </si>
  <si>
    <t>DX_CONT</t>
  </si>
  <si>
    <t>JPYx</t>
  </si>
  <si>
    <t>South Africa Rand</t>
  </si>
  <si>
    <t>6Z</t>
  </si>
  <si>
    <t>6Z_CONT</t>
  </si>
  <si>
    <t>ZARx</t>
  </si>
  <si>
    <t>stock indices</t>
  </si>
  <si>
    <t>Indices</t>
  </si>
  <si>
    <t>pair</t>
  </si>
  <si>
    <t>large</t>
  </si>
  <si>
    <t>match</t>
  </si>
  <si>
    <t>vlookup</t>
  </si>
  <si>
    <t>GJ</t>
  </si>
  <si>
    <t>USA</t>
  </si>
  <si>
    <t>E-mini S&amp;P 500</t>
  </si>
  <si>
    <t>ES</t>
  </si>
  <si>
    <t>ES_CONT</t>
  </si>
  <si>
    <t>GU</t>
  </si>
  <si>
    <t>E-mini NASDAQ-100</t>
  </si>
  <si>
    <t>NQ</t>
  </si>
  <si>
    <t>NQ_CONT</t>
  </si>
  <si>
    <t>UJ</t>
  </si>
  <si>
    <t>Dow Jones 5$ mini</t>
  </si>
  <si>
    <t>YM</t>
  </si>
  <si>
    <t>YM_CONT</t>
  </si>
  <si>
    <t>EU</t>
  </si>
  <si>
    <t>Russell 2000 Mini Index</t>
  </si>
  <si>
    <t>ER2</t>
  </si>
  <si>
    <t>ER2_CONT</t>
  </si>
  <si>
    <t>EJ</t>
  </si>
  <si>
    <t>FTSE 100 Index</t>
  </si>
  <si>
    <t>FTSE</t>
  </si>
  <si>
    <t>EG</t>
  </si>
  <si>
    <t>EUROPE</t>
  </si>
  <si>
    <t>MidCap MDAX</t>
  </si>
  <si>
    <t>MDAX</t>
  </si>
  <si>
    <t>EChf</t>
  </si>
  <si>
    <t>EUR DAX® Index</t>
  </si>
  <si>
    <t>FDAX</t>
  </si>
  <si>
    <t>D.J. EURO STOXX 50 Index (FESX)</t>
  </si>
  <si>
    <t>FESX</t>
  </si>
  <si>
    <t>UChf</t>
  </si>
  <si>
    <t>CAC</t>
  </si>
  <si>
    <t>ChfJ</t>
  </si>
  <si>
    <t>CAC 40 Index</t>
  </si>
  <si>
    <t>FCE</t>
  </si>
  <si>
    <t>FCE_CONT</t>
  </si>
  <si>
    <t>SMI</t>
  </si>
  <si>
    <t>UCad</t>
  </si>
  <si>
    <t>FSMI</t>
  </si>
  <si>
    <t>AEX Index</t>
  </si>
  <si>
    <t>AEX</t>
  </si>
  <si>
    <t>CadJ</t>
  </si>
  <si>
    <t>E-mini MSCI EAFE</t>
  </si>
  <si>
    <t>EFE</t>
  </si>
  <si>
    <t>AJ</t>
  </si>
  <si>
    <t>EUR-Mini</t>
  </si>
  <si>
    <t>AU</t>
  </si>
  <si>
    <t>NU</t>
  </si>
  <si>
    <t>Swiss Market Index</t>
  </si>
  <si>
    <t>NJ</t>
  </si>
  <si>
    <t>DAX 30</t>
  </si>
  <si>
    <t>DAX30</t>
  </si>
  <si>
    <t>STOXX® Europe 50 Index (FSTX)</t>
  </si>
  <si>
    <t>FSTX</t>
  </si>
  <si>
    <t xml:space="preserve">CHF </t>
  </si>
  <si>
    <t>Portugal PSI</t>
  </si>
  <si>
    <t>PSI</t>
  </si>
  <si>
    <t>IBEX-35 Index</t>
  </si>
  <si>
    <t>IBX</t>
  </si>
  <si>
    <t>E-mini S&amp;P MidCap 400</t>
  </si>
  <si>
    <t>MC</t>
  </si>
  <si>
    <t>Futures on FTSE MIB</t>
  </si>
  <si>
    <t>SPMIB</t>
  </si>
  <si>
    <t>Nikkei 225 Stock Average (OSE)</t>
  </si>
  <si>
    <t>NI</t>
  </si>
  <si>
    <t>Nikkei 225 mini (OSE)</t>
  </si>
  <si>
    <t>NI_M</t>
  </si>
  <si>
    <t>Nikkei 225 Stock Average (CME)</t>
  </si>
  <si>
    <t>NKD</t>
  </si>
  <si>
    <t>ASIAN</t>
  </si>
  <si>
    <t>Hang Seng Index</t>
  </si>
  <si>
    <t>HSI</t>
  </si>
  <si>
    <t>Mini Hang Seng</t>
  </si>
  <si>
    <t>MHI</t>
  </si>
  <si>
    <t>Singapore Straits Times Index</t>
  </si>
  <si>
    <t>STI</t>
  </si>
  <si>
    <t>Russian RTS Index</t>
  </si>
  <si>
    <t>RTS</t>
  </si>
  <si>
    <t>commodities</t>
  </si>
  <si>
    <t>Energies</t>
  </si>
  <si>
    <t>Crude Oil Brent CRD</t>
  </si>
  <si>
    <t>BRN</t>
  </si>
  <si>
    <t>2 to 24</t>
  </si>
  <si>
    <t>BRN_CONT</t>
  </si>
  <si>
    <t>Meter Strength</t>
  </si>
  <si>
    <t>Crude Oil, Light Sweet</t>
  </si>
  <si>
    <t>CL</t>
  </si>
  <si>
    <t>cont</t>
  </si>
  <si>
    <t>CL_CONT</t>
  </si>
  <si>
    <t>Gas Oil</t>
  </si>
  <si>
    <t>GAS</t>
  </si>
  <si>
    <t>7 to20</t>
  </si>
  <si>
    <t>GAS_CONT</t>
  </si>
  <si>
    <t>Heating Oil</t>
  </si>
  <si>
    <t>HO</t>
  </si>
  <si>
    <t>HO_CONT</t>
  </si>
  <si>
    <t>Henry Hub Natural Gas</t>
  </si>
  <si>
    <t>NG</t>
  </si>
  <si>
    <t>NG_CONT</t>
  </si>
  <si>
    <t>E-mini Natural Gas</t>
  </si>
  <si>
    <t>QG</t>
  </si>
  <si>
    <t>QG_CONT</t>
  </si>
  <si>
    <t>E-mini Crude Oil</t>
  </si>
  <si>
    <t>QM</t>
  </si>
  <si>
    <t>QM_CONT</t>
  </si>
  <si>
    <t>WTI Light Sweet Crude Oil(WBS)</t>
  </si>
  <si>
    <t>WTI</t>
  </si>
  <si>
    <t>1 to 23</t>
  </si>
  <si>
    <t>WTI_CONT</t>
  </si>
  <si>
    <t>RBOB Gasoline</t>
  </si>
  <si>
    <t>XRB</t>
  </si>
  <si>
    <t>XRB_CONT</t>
  </si>
  <si>
    <t>GC</t>
  </si>
  <si>
    <t xml:space="preserve"> Metals</t>
  </si>
  <si>
    <t>HG</t>
  </si>
  <si>
    <t>COMEX Gold 100 Oz.</t>
  </si>
  <si>
    <t>PA</t>
  </si>
  <si>
    <t>COMEX Copper, High Grade(HG)</t>
  </si>
  <si>
    <t>PL</t>
  </si>
  <si>
    <t>Momentum</t>
  </si>
  <si>
    <t>Nymex - Palladium</t>
  </si>
  <si>
    <t>SI</t>
  </si>
  <si>
    <t>Nymex — Platinum</t>
  </si>
  <si>
    <t>XAG</t>
  </si>
  <si>
    <t>COMEX Silver, 5000 Oz.</t>
  </si>
  <si>
    <t>XAU</t>
  </si>
  <si>
    <t>spot silver</t>
  </si>
  <si>
    <t>ZC</t>
  </si>
  <si>
    <t>spot gold</t>
  </si>
  <si>
    <t>ZL</t>
  </si>
  <si>
    <t>Aluminium</t>
  </si>
  <si>
    <t>Alum</t>
  </si>
  <si>
    <t>ALUMx0</t>
  </si>
  <si>
    <t>ZM</t>
  </si>
  <si>
    <t>Lead</t>
  </si>
  <si>
    <t>LEAD</t>
  </si>
  <si>
    <t>LEADx0</t>
  </si>
  <si>
    <t>ZO</t>
  </si>
  <si>
    <t xml:space="preserve">Nickel </t>
  </si>
  <si>
    <t>NICK</t>
  </si>
  <si>
    <t>NICKx0</t>
  </si>
  <si>
    <t>ZR</t>
  </si>
  <si>
    <t>Zink</t>
  </si>
  <si>
    <t>ZINC</t>
  </si>
  <si>
    <t>ZINCx0</t>
  </si>
  <si>
    <t>ZS</t>
  </si>
  <si>
    <t>ZW</t>
  </si>
  <si>
    <t>Agriculture</t>
  </si>
  <si>
    <t>CC</t>
  </si>
  <si>
    <t>Index</t>
  </si>
  <si>
    <t>Corn</t>
  </si>
  <si>
    <t>C</t>
  </si>
  <si>
    <t>Soybean Oil</t>
  </si>
  <si>
    <t>CT</t>
  </si>
  <si>
    <t>Soybean Meal</t>
  </si>
  <si>
    <t>JO</t>
  </si>
  <si>
    <t>Oats</t>
  </si>
  <si>
    <t>KC</t>
  </si>
  <si>
    <t>Rough Rice</t>
  </si>
  <si>
    <t>RCE</t>
  </si>
  <si>
    <t>Soybeans</t>
  </si>
  <si>
    <t>SB</t>
  </si>
  <si>
    <t>Wheat</t>
  </si>
  <si>
    <t>W</t>
  </si>
  <si>
    <t>GF</t>
  </si>
  <si>
    <t>Softs</t>
  </si>
  <si>
    <t>GPB</t>
  </si>
  <si>
    <t>NYBOT Cocoa(CC)</t>
  </si>
  <si>
    <t>HE</t>
  </si>
  <si>
    <t>Cocoa</t>
  </si>
  <si>
    <t>LE</t>
  </si>
  <si>
    <t>NYBOT Cotton No. 2</t>
  </si>
  <si>
    <t>NYBOT Orange Juice(OJ)</t>
  </si>
  <si>
    <t>NYBOT Coffee</t>
  </si>
  <si>
    <t>Robusta Coffee (10T) Series 409</t>
  </si>
  <si>
    <t>NYBOT Sugar No. 11</t>
  </si>
  <si>
    <t>White Sugar (No. 5)</t>
  </si>
  <si>
    <t>bond</t>
  </si>
  <si>
    <t>Financials</t>
  </si>
  <si>
    <t>Euro-bund, German Government</t>
  </si>
  <si>
    <t>FGBL</t>
  </si>
  <si>
    <t>Euro BOBL</t>
  </si>
  <si>
    <t>FGBM</t>
  </si>
  <si>
    <t>Euro Schatz</t>
  </si>
  <si>
    <t>FGBS</t>
  </si>
  <si>
    <t>Eurodollar</t>
  </si>
  <si>
    <t>GE</t>
  </si>
  <si>
    <t>Gilt Long</t>
  </si>
  <si>
    <t>GLONG</t>
  </si>
  <si>
    <t>30-year US T-Bond</t>
  </si>
  <si>
    <t>ZB</t>
  </si>
  <si>
    <t>10 Year US T-Notes Composite</t>
  </si>
  <si>
    <t>ZN</t>
  </si>
  <si>
    <t>Commodity Research Bureau Index</t>
  </si>
  <si>
    <t>CRB-Index</t>
  </si>
  <si>
    <t>CRBx</t>
  </si>
  <si>
    <t>Continous Commodity Index</t>
  </si>
  <si>
    <t>CCI-Index</t>
  </si>
  <si>
    <t>CCIx</t>
  </si>
  <si>
    <t>VIX</t>
  </si>
  <si>
    <t>VIX_CONT</t>
  </si>
  <si>
    <t>GOLD</t>
  </si>
  <si>
    <t>buy-buy-BUY</t>
  </si>
  <si>
    <t>OIL</t>
  </si>
  <si>
    <t>sell-sell-SELL</t>
  </si>
  <si>
    <t>buy-sell-BUY</t>
  </si>
  <si>
    <t>sell-buy-SELL</t>
  </si>
  <si>
    <t>sell-buy-BUY</t>
  </si>
  <si>
    <t>buy-sell-SELL</t>
  </si>
  <si>
    <t>XAUUSD</t>
  </si>
  <si>
    <t xml:space="preserve">Currencies </t>
  </si>
  <si>
    <t>Mom't</t>
  </si>
  <si>
    <t xml:space="preserve">Euro </t>
  </si>
  <si>
    <t>US Dollar</t>
  </si>
  <si>
    <t>Yen</t>
  </si>
  <si>
    <t>Pair</t>
  </si>
  <si>
    <t>Point Range</t>
  </si>
  <si>
    <t>Bid Ratio</t>
  </si>
  <si>
    <t>Relative</t>
  </si>
  <si>
    <t>Strength</t>
  </si>
  <si>
    <t>Total Strength</t>
  </si>
  <si>
    <t>Strong</t>
  </si>
  <si>
    <t>Limits</t>
  </si>
  <si>
    <t>Rising</t>
  </si>
  <si>
    <t>BUY</t>
  </si>
  <si>
    <t># of evaluation points</t>
  </si>
  <si>
    <t>Neutral</t>
  </si>
  <si>
    <t>SELL</t>
  </si>
  <si>
    <t>Weak</t>
  </si>
  <si>
    <t>Group</t>
  </si>
  <si>
    <t>Signal</t>
  </si>
  <si>
    <t>BidRatio</t>
  </si>
  <si>
    <t>Buy</t>
  </si>
  <si>
    <t>Sell</t>
  </si>
  <si>
    <t>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</si>
</sst>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164" formatCode="_-* #,##0.00_-;\-* #,##0.00_-;_-* &quot;-&quot;??_-;_-@_-"/>
    <numFmt numFmtId="165" formatCode="h:mm:ss;@"/>
    <numFmt numFmtId="166" formatCode="0.000000000000"/>
    <numFmt numFmtId="167" formatCode="0.000000000000%"/>
    <numFmt numFmtId="168" formatCode="0.0000000"/>
    <numFmt numFmtId="169" formatCode="0.00000"/>
    <numFmt numFmtId="170" formatCode="0.00000000"/>
    <numFmt numFmtId="171" formatCode="0.000000"/>
    <numFmt numFmtId="172" formatCode="0.000000000"/>
    <numFmt numFmtId="173" formatCode="0.0000000000"/>
    <numFmt numFmtId="174" formatCode="0.00000000000"/>
    <numFmt numFmtId="175" formatCode="0.0000000000000"/>
    <numFmt numFmtId="176" formatCode="0.00000000000000"/>
    <numFmt numFmtId="177" formatCode="_(* #,##0.0_);_(* \(#,##0.0\);_(* &quot;-&quot;??_);_(@_)"/>
    <numFmt numFmtId="178" formatCode="0.000"/>
    <numFmt numFmtId="179" formatCode="0.0"/>
  </numFmts>
  <fonts count="26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4"/>
      <color indexed="9"/>
      <name val="Arial"/>
      <family val="2"/>
    </font>
    <font>
      <sz val="9"/>
      <color theme="1"/>
      <name val="Tahoma"/>
      <family val="2"/>
    </font>
    <font>
      <sz val="10"/>
      <color indexed="42"/>
      <name val="Tahoma"/>
      <family val="2"/>
    </font>
    <font>
      <b/>
      <sz val="14"/>
      <name val="Arial"/>
      <family val="2"/>
    </font>
    <font>
      <b/>
      <sz val="12"/>
      <color indexed="9"/>
      <name val="Arial"/>
      <family val="2"/>
    </font>
    <font>
      <b/>
      <sz val="18"/>
      <name val="Arial"/>
      <family val="2"/>
    </font>
    <font>
      <sz val="11"/>
      <color theme="1"/>
      <name val="Calibri"/>
      <family val="2"/>
      <scheme val="minor"/>
    </font>
    <font>
      <b/>
      <sz val="10"/>
      <color indexed="10"/>
      <name val="Arial"/>
      <family val="2"/>
    </font>
    <font>
      <b/>
      <sz val="10"/>
      <color indexed="6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9" tint="0.39997558519241921"/>
      <name val="Arial"/>
      <family val="2"/>
    </font>
    <font>
      <b/>
      <i/>
      <sz val="10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b/>
      <i/>
      <sz val="12"/>
      <name val="Arial"/>
      <family val="2"/>
    </font>
    <font>
      <sz val="10"/>
      <color theme="1" tint="4.9989318521683403E-2"/>
      <name val="Arial"/>
      <family val="2"/>
    </font>
    <font>
      <sz val="12"/>
      <name val="Arial"/>
      <family val="2"/>
    </font>
    <font>
      <i/>
      <sz val="10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4"/>
      <color indexed="9"/>
      <name val="Arial"/>
      <family val="2"/>
    </font>
    <font>
      <b/>
      <sz val="16"/>
      <color indexed="9"/>
      <name val="Tahoma"/>
      <family val="2"/>
    </font>
    <font>
      <sz val="16"/>
      <color indexed="9"/>
      <name val="Tahoma"/>
      <family val="2"/>
    </font>
  </fonts>
  <fills count="1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36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36"/>
      </right>
      <top style="thin">
        <color indexed="64"/>
      </top>
      <bottom style="thin">
        <color indexed="64"/>
      </bottom>
      <diagonal/>
    </border>
    <border>
      <left style="thin">
        <color indexed="36"/>
      </left>
      <right style="thin">
        <color indexed="55"/>
      </right>
      <top/>
      <bottom style="thin">
        <color indexed="36"/>
      </bottom>
      <diagonal/>
    </border>
    <border>
      <left style="thin">
        <color indexed="55"/>
      </left>
      <right style="thin">
        <color indexed="55"/>
      </right>
      <top/>
      <bottom style="thin">
        <color indexed="36"/>
      </bottom>
      <diagonal/>
    </border>
    <border>
      <left style="thin">
        <color indexed="55"/>
      </left>
      <right style="thin">
        <color indexed="36"/>
      </right>
      <top/>
      <bottom style="thin">
        <color indexed="36"/>
      </bottom>
      <diagonal/>
    </border>
    <border>
      <left style="thin">
        <color indexed="36"/>
      </left>
      <right style="thin">
        <color indexed="36"/>
      </right>
      <top style="thin">
        <color indexed="36"/>
      </top>
      <bottom style="thin">
        <color indexed="36"/>
      </bottom>
      <diagonal/>
    </border>
    <border>
      <left style="thin">
        <color indexed="36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36"/>
      </left>
      <right/>
      <top style="thin">
        <color indexed="36"/>
      </top>
      <bottom/>
      <diagonal/>
    </border>
    <border>
      <left/>
      <right/>
      <top style="thin">
        <color indexed="36"/>
      </top>
      <bottom/>
      <diagonal/>
    </border>
    <border>
      <left/>
      <right style="thin">
        <color indexed="36"/>
      </right>
      <top style="thin">
        <color indexed="36"/>
      </top>
      <bottom/>
      <diagonal/>
    </border>
    <border>
      <left style="thin">
        <color indexed="36"/>
      </left>
      <right/>
      <top/>
      <bottom style="thin">
        <color indexed="36"/>
      </bottom>
      <diagonal/>
    </border>
    <border>
      <left/>
      <right/>
      <top/>
      <bottom style="thin">
        <color indexed="36"/>
      </bottom>
      <diagonal/>
    </border>
    <border>
      <left/>
      <right style="thin">
        <color indexed="36"/>
      </right>
      <top/>
      <bottom style="thin">
        <color indexed="36"/>
      </bottom>
      <diagonal/>
    </border>
    <border>
      <left style="thin">
        <color indexed="36"/>
      </left>
      <right/>
      <top/>
      <bottom/>
      <diagonal/>
    </border>
    <border>
      <left/>
      <right style="thin">
        <color indexed="36"/>
      </right>
      <top/>
      <bottom/>
      <diagonal/>
    </border>
    <border>
      <left style="thin">
        <color indexed="36"/>
      </left>
      <right/>
      <top style="thin">
        <color indexed="36"/>
      </top>
      <bottom style="thin">
        <color indexed="36"/>
      </bottom>
      <diagonal/>
    </border>
    <border>
      <left/>
      <right/>
      <top style="thin">
        <color indexed="36"/>
      </top>
      <bottom style="thin">
        <color indexed="36"/>
      </bottom>
      <diagonal/>
    </border>
    <border>
      <left/>
      <right style="thin">
        <color indexed="36"/>
      </right>
      <top style="thin">
        <color indexed="36"/>
      </top>
      <bottom style="thin">
        <color indexed="36"/>
      </bottom>
      <diagonal/>
    </border>
    <border>
      <left style="thin">
        <color indexed="36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7">
    <xf numFmtId="0" fontId="0" fillId="0" borderId="0" xfId="0"/>
    <xf numFmtId="0" fontId="3" fillId="4" borderId="0" xfId="0" applyFont="1" applyFill="1"/>
    <xf numFmtId="165" fontId="3" fillId="4" borderId="0" xfId="0" applyNumberFormat="1" applyFont="1" applyFill="1"/>
    <xf numFmtId="166" fontId="3" fillId="4" borderId="0" xfId="0" applyNumberFormat="1" applyFont="1" applyFill="1"/>
    <xf numFmtId="9" fontId="3" fillId="4" borderId="0" xfId="0" applyNumberFormat="1" applyFont="1" applyFill="1"/>
    <xf numFmtId="0" fontId="3" fillId="4" borderId="0" xfId="0" applyFont="1" applyFill="1" applyAlignment="1">
      <alignment horizontal="center"/>
    </xf>
    <xf numFmtId="10" fontId="3" fillId="4" borderId="0" xfId="0" applyNumberFormat="1" applyFont="1" applyFill="1"/>
    <xf numFmtId="2" fontId="3" fillId="4" borderId="0" xfId="0" applyNumberFormat="1" applyFont="1" applyFill="1"/>
    <xf numFmtId="1" fontId="3" fillId="4" borderId="0" xfId="0" applyNumberFormat="1" applyFont="1" applyFill="1"/>
    <xf numFmtId="0" fontId="3" fillId="4" borderId="1" xfId="0" applyFont="1" applyFill="1" applyBorder="1"/>
    <xf numFmtId="0" fontId="3" fillId="4" borderId="0" xfId="0" applyFont="1" applyFill="1" applyBorder="1"/>
    <xf numFmtId="0" fontId="3" fillId="4" borderId="2" xfId="0" applyFont="1" applyFill="1" applyBorder="1"/>
    <xf numFmtId="0" fontId="3" fillId="4" borderId="3" xfId="0" applyFont="1" applyFill="1" applyBorder="1"/>
    <xf numFmtId="0" fontId="3" fillId="4" borderId="4" xfId="0" applyFont="1" applyFill="1" applyBorder="1"/>
    <xf numFmtId="0" fontId="3" fillId="4" borderId="5" xfId="0" applyFont="1" applyFill="1" applyBorder="1"/>
    <xf numFmtId="0" fontId="3" fillId="4" borderId="0" xfId="0" quotePrefix="1" applyFont="1" applyFill="1"/>
    <xf numFmtId="2" fontId="3" fillId="4" borderId="0" xfId="0" quotePrefix="1" applyNumberFormat="1" applyFont="1" applyFill="1"/>
    <xf numFmtId="167" fontId="3" fillId="4" borderId="0" xfId="0" applyNumberFormat="1" applyFont="1" applyFill="1"/>
    <xf numFmtId="9" fontId="3" fillId="4" borderId="0" xfId="0" applyNumberFormat="1" applyFont="1" applyFill="1" applyAlignment="1">
      <alignment horizontal="center"/>
    </xf>
    <xf numFmtId="168" fontId="3" fillId="4" borderId="0" xfId="0" applyNumberFormat="1" applyFont="1" applyFill="1"/>
    <xf numFmtId="169" fontId="3" fillId="4" borderId="0" xfId="0" applyNumberFormat="1" applyFont="1" applyFill="1"/>
    <xf numFmtId="170" fontId="3" fillId="4" borderId="0" xfId="0" applyNumberFormat="1" applyFont="1" applyFill="1"/>
    <xf numFmtId="171" fontId="3" fillId="4" borderId="0" xfId="0" applyNumberFormat="1" applyFont="1" applyFill="1"/>
    <xf numFmtId="172" fontId="3" fillId="4" borderId="0" xfId="0" applyNumberFormat="1" applyFont="1" applyFill="1"/>
    <xf numFmtId="173" fontId="3" fillId="4" borderId="0" xfId="0" applyNumberFormat="1" applyFont="1" applyFill="1"/>
    <xf numFmtId="174" fontId="3" fillId="4" borderId="0" xfId="0" applyNumberFormat="1" applyFont="1" applyFill="1"/>
    <xf numFmtId="175" fontId="3" fillId="4" borderId="0" xfId="0" applyNumberFormat="1" applyFont="1" applyFill="1"/>
    <xf numFmtId="176" fontId="3" fillId="4" borderId="0" xfId="0" applyNumberFormat="1" applyFont="1" applyFill="1"/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9" fontId="2" fillId="3" borderId="12" xfId="0" applyNumberFormat="1" applyFont="1" applyFill="1" applyBorder="1" applyAlignment="1">
      <alignment horizontal="center" vertical="center" wrapText="1"/>
    </xf>
    <xf numFmtId="0" fontId="0" fillId="5" borderId="0" xfId="0" applyFill="1"/>
    <xf numFmtId="0" fontId="0" fillId="0" borderId="7" xfId="0" applyFont="1" applyFill="1" applyBorder="1" applyAlignment="1">
      <alignment horizontal="center"/>
    </xf>
    <xf numFmtId="9" fontId="0" fillId="0" borderId="7" xfId="0" applyNumberFormat="1" applyFont="1" applyFill="1" applyBorder="1"/>
    <xf numFmtId="2" fontId="2" fillId="3" borderId="9" xfId="0" applyNumberFormat="1" applyFont="1" applyFill="1" applyBorder="1" applyAlignment="1">
      <alignment horizontal="center" vertical="center" wrapText="1"/>
    </xf>
    <xf numFmtId="2" fontId="2" fillId="3" borderId="10" xfId="0" applyNumberFormat="1" applyFont="1" applyFill="1" applyBorder="1" applyAlignment="1">
      <alignment horizontal="center" vertical="center" wrapText="1"/>
    </xf>
    <xf numFmtId="2" fontId="2" fillId="3" borderId="11" xfId="0" applyNumberFormat="1" applyFont="1" applyFill="1" applyBorder="1" applyAlignment="1">
      <alignment horizontal="center" vertical="center" wrapText="1"/>
    </xf>
    <xf numFmtId="0" fontId="4" fillId="3" borderId="16" xfId="0" applyFont="1" applyFill="1" applyBorder="1"/>
    <xf numFmtId="0" fontId="4" fillId="3" borderId="19" xfId="0" applyFont="1" applyFill="1" applyBorder="1"/>
    <xf numFmtId="0" fontId="4" fillId="3" borderId="0" xfId="0" applyFont="1" applyFill="1" applyBorder="1"/>
    <xf numFmtId="0" fontId="4" fillId="3" borderId="24" xfId="0" applyFont="1" applyFill="1" applyBorder="1"/>
    <xf numFmtId="0" fontId="0" fillId="0" borderId="0" xfId="0" applyFill="1"/>
    <xf numFmtId="0" fontId="6" fillId="3" borderId="15" xfId="0" applyFont="1" applyFill="1" applyBorder="1" applyAlignment="1">
      <alignment vertical="center"/>
    </xf>
    <xf numFmtId="0" fontId="6" fillId="3" borderId="16" xfId="0" applyFont="1" applyFill="1" applyBorder="1" applyAlignment="1">
      <alignment vertical="center"/>
    </xf>
    <xf numFmtId="0" fontId="6" fillId="3" borderId="18" xfId="0" applyFont="1" applyFill="1" applyBorder="1" applyAlignment="1">
      <alignment vertical="center"/>
    </xf>
    <xf numFmtId="0" fontId="6" fillId="3" borderId="19" xfId="0" applyFont="1" applyFill="1" applyBorder="1" applyAlignment="1">
      <alignment vertical="center"/>
    </xf>
    <xf numFmtId="0" fontId="6" fillId="3" borderId="21" xfId="0" applyFont="1" applyFill="1" applyBorder="1" applyAlignment="1">
      <alignment vertical="center"/>
    </xf>
    <xf numFmtId="0" fontId="6" fillId="3" borderId="0" xfId="0" applyFont="1" applyFill="1" applyBorder="1" applyAlignment="1">
      <alignment vertical="center"/>
    </xf>
    <xf numFmtId="0" fontId="6" fillId="3" borderId="23" xfId="0" applyFont="1" applyFill="1" applyBorder="1" applyAlignment="1">
      <alignment vertical="center"/>
    </xf>
    <xf numFmtId="0" fontId="6" fillId="3" borderId="24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Fill="1" applyAlignment="1">
      <alignment vertical="center"/>
    </xf>
    <xf numFmtId="0" fontId="13" fillId="7" borderId="32" xfId="0" applyFont="1" applyFill="1" applyBorder="1" applyAlignment="1">
      <alignment horizontal="center" vertical="center"/>
    </xf>
    <xf numFmtId="0" fontId="12" fillId="8" borderId="33" xfId="0" applyFont="1" applyFill="1" applyBorder="1" applyAlignment="1">
      <alignment horizontal="center" vertical="center"/>
    </xf>
    <xf numFmtId="0" fontId="12" fillId="8" borderId="34" xfId="0" applyFont="1" applyFill="1" applyBorder="1" applyAlignment="1">
      <alignment horizontal="center" vertical="center"/>
    </xf>
    <xf numFmtId="0" fontId="12" fillId="8" borderId="35" xfId="0" applyFont="1" applyFill="1" applyBorder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14" fillId="8" borderId="36" xfId="0" applyFont="1" applyFill="1" applyBorder="1" applyAlignment="1">
      <alignment horizontal="center" vertical="center"/>
    </xf>
    <xf numFmtId="169" fontId="0" fillId="9" borderId="0" xfId="0" applyNumberFormat="1" applyFill="1" applyBorder="1" applyAlignment="1">
      <alignment horizontal="center" vertical="center"/>
    </xf>
    <xf numFmtId="178" fontId="0" fillId="9" borderId="0" xfId="0" applyNumberFormat="1" applyFill="1" applyBorder="1" applyAlignment="1">
      <alignment horizontal="center" vertical="center"/>
    </xf>
    <xf numFmtId="178" fontId="0" fillId="9" borderId="2" xfId="0" applyNumberFormat="1" applyFill="1" applyBorder="1" applyAlignment="1">
      <alignment horizontal="center" vertical="center"/>
    </xf>
    <xf numFmtId="178" fontId="0" fillId="0" borderId="0" xfId="0" applyNumberFormat="1" applyFill="1" applyBorder="1" applyAlignment="1">
      <alignment horizontal="center" vertical="center"/>
    </xf>
    <xf numFmtId="1" fontId="15" fillId="0" borderId="0" xfId="0" applyNumberFormat="1" applyFont="1" applyAlignment="1">
      <alignment horizontal="right" vertical="center"/>
    </xf>
    <xf numFmtId="0" fontId="14" fillId="8" borderId="37" xfId="0" applyFont="1" applyFill="1" applyBorder="1" applyAlignment="1">
      <alignment horizontal="center" vertical="center"/>
    </xf>
    <xf numFmtId="169" fontId="0" fillId="10" borderId="0" xfId="0" applyNumberFormat="1" applyFill="1" applyBorder="1" applyAlignment="1">
      <alignment horizontal="center" vertical="center"/>
    </xf>
    <xf numFmtId="0" fontId="14" fillId="11" borderId="38" xfId="0" applyFont="1" applyFill="1" applyBorder="1" applyAlignment="1">
      <alignment horizontal="center" vertical="center"/>
    </xf>
    <xf numFmtId="169" fontId="0" fillId="9" borderId="4" xfId="0" applyNumberFormat="1" applyFill="1" applyBorder="1" applyAlignment="1">
      <alignment horizontal="center" vertical="center"/>
    </xf>
    <xf numFmtId="178" fontId="0" fillId="9" borderId="4" xfId="0" applyNumberFormat="1" applyFill="1" applyBorder="1" applyAlignment="1">
      <alignment horizontal="center" vertical="center"/>
    </xf>
    <xf numFmtId="178" fontId="0" fillId="9" borderId="5" xfId="0" applyNumberFormat="1" applyFill="1" applyBorder="1" applyAlignment="1">
      <alignment horizontal="center" vertical="center"/>
    </xf>
    <xf numFmtId="0" fontId="14" fillId="11" borderId="39" xfId="0" applyFont="1" applyFill="1" applyBorder="1" applyAlignment="1">
      <alignment horizontal="center" vertical="center"/>
    </xf>
    <xf numFmtId="179" fontId="0" fillId="10" borderId="40" xfId="0" applyNumberFormat="1" applyFill="1" applyBorder="1" applyAlignment="1">
      <alignment horizontal="center" vertical="center"/>
    </xf>
    <xf numFmtId="179" fontId="0" fillId="10" borderId="41" xfId="0" applyNumberFormat="1" applyFill="1" applyBorder="1" applyAlignment="1">
      <alignment horizontal="center" vertical="center"/>
    </xf>
    <xf numFmtId="179" fontId="0" fillId="10" borderId="42" xfId="0" applyNumberForma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8" borderId="43" xfId="0" applyFont="1" applyFill="1" applyBorder="1" applyAlignment="1">
      <alignment horizontal="center" vertical="center"/>
    </xf>
    <xf numFmtId="1" fontId="0" fillId="9" borderId="44" xfId="0" applyNumberFormat="1" applyFill="1" applyBorder="1" applyAlignment="1">
      <alignment horizontal="center" vertical="center"/>
    </xf>
    <xf numFmtId="1" fontId="0" fillId="9" borderId="45" xfId="0" applyNumberFormat="1" applyFill="1" applyBorder="1" applyAlignment="1">
      <alignment horizontal="center" vertical="center"/>
    </xf>
    <xf numFmtId="1" fontId="0" fillId="9" borderId="46" xfId="0" applyNumberFormat="1" applyFill="1" applyBorder="1" applyAlignment="1">
      <alignment horizontal="center" vertical="center"/>
    </xf>
    <xf numFmtId="0" fontId="14" fillId="8" borderId="47" xfId="0" applyFont="1" applyFill="1" applyBorder="1" applyAlignment="1">
      <alignment horizontal="center" vertical="center"/>
    </xf>
    <xf numFmtId="10" fontId="8" fillId="9" borderId="3" xfId="2" applyNumberFormat="1" applyFill="1" applyBorder="1" applyAlignment="1">
      <alignment horizontal="center" vertical="center"/>
    </xf>
    <xf numFmtId="10" fontId="8" fillId="9" borderId="4" xfId="2" applyNumberFormat="1" applyFill="1" applyBorder="1" applyAlignment="1">
      <alignment horizontal="center" vertical="center"/>
    </xf>
    <xf numFmtId="10" fontId="8" fillId="9" borderId="5" xfId="2" applyNumberFormat="1" applyFill="1" applyBorder="1" applyAlignment="1">
      <alignment horizontal="center" vertical="center"/>
    </xf>
    <xf numFmtId="0" fontId="14" fillId="8" borderId="44" xfId="0" applyFont="1" applyFill="1" applyBorder="1" applyAlignment="1">
      <alignment horizontal="center" vertical="center"/>
    </xf>
    <xf numFmtId="0" fontId="14" fillId="8" borderId="45" xfId="0" applyFont="1" applyFill="1" applyBorder="1" applyAlignment="1">
      <alignment horizontal="center" vertical="center"/>
    </xf>
    <xf numFmtId="0" fontId="14" fillId="8" borderId="46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14" fillId="8" borderId="0" xfId="0" applyFont="1" applyFill="1" applyBorder="1" applyAlignment="1">
      <alignment horizontal="center" vertical="center"/>
    </xf>
    <xf numFmtId="0" fontId="14" fillId="8" borderId="2" xfId="0" applyFont="1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17" fillId="9" borderId="49" xfId="0" applyFont="1" applyFill="1" applyBorder="1" applyAlignment="1">
      <alignment horizontal="center" vertical="center"/>
    </xf>
    <xf numFmtId="0" fontId="17" fillId="9" borderId="50" xfId="0" applyFont="1" applyFill="1" applyBorder="1" applyAlignment="1">
      <alignment horizontal="center" vertical="center"/>
    </xf>
    <xf numFmtId="0" fontId="17" fillId="9" borderId="51" xfId="0" applyFont="1" applyFill="1" applyBorder="1" applyAlignment="1">
      <alignment horizontal="center" vertical="center"/>
    </xf>
    <xf numFmtId="0" fontId="17" fillId="9" borderId="52" xfId="0" applyFont="1" applyFill="1" applyBorder="1" applyAlignment="1">
      <alignment horizontal="center" vertical="center"/>
    </xf>
    <xf numFmtId="0" fontId="17" fillId="9" borderId="46" xfId="0" applyFont="1" applyFill="1" applyBorder="1" applyAlignment="1">
      <alignment horizontal="center" vertical="center"/>
    </xf>
    <xf numFmtId="0" fontId="18" fillId="12" borderId="32" xfId="0" applyFont="1" applyFill="1" applyBorder="1" applyAlignment="1">
      <alignment horizontal="center" vertical="center"/>
    </xf>
    <xf numFmtId="2" fontId="0" fillId="13" borderId="7" xfId="0" applyNumberFormat="1" applyFill="1" applyBorder="1" applyAlignment="1">
      <alignment horizontal="center" vertical="center"/>
    </xf>
    <xf numFmtId="2" fontId="0" fillId="13" borderId="54" xfId="0" applyNumberFormat="1" applyFill="1" applyBorder="1" applyAlignment="1">
      <alignment horizontal="center" vertical="center"/>
    </xf>
    <xf numFmtId="2" fontId="0" fillId="13" borderId="55" xfId="0" applyNumberFormat="1" applyFill="1" applyBorder="1" applyAlignment="1">
      <alignment horizontal="center" vertical="center"/>
    </xf>
    <xf numFmtId="0" fontId="15" fillId="14" borderId="56" xfId="0" applyFont="1" applyFill="1" applyBorder="1" applyAlignment="1">
      <alignment horizontal="center" vertical="center"/>
    </xf>
    <xf numFmtId="2" fontId="19" fillId="4" borderId="57" xfId="0" applyNumberFormat="1" applyFont="1" applyFill="1" applyBorder="1" applyAlignment="1">
      <alignment vertical="center"/>
    </xf>
    <xf numFmtId="0" fontId="0" fillId="0" borderId="40" xfId="0" applyBorder="1" applyAlignment="1">
      <alignment horizontal="center" vertical="center"/>
    </xf>
    <xf numFmtId="0" fontId="20" fillId="0" borderId="41" xfId="0" applyFont="1" applyBorder="1" applyAlignment="1">
      <alignment horizontal="right" vertical="center"/>
    </xf>
    <xf numFmtId="0" fontId="20" fillId="0" borderId="4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11" fillId="13" borderId="56" xfId="0" applyFont="1" applyFill="1" applyBorder="1" applyAlignment="1">
      <alignment horizontal="center" vertical="center"/>
    </xf>
    <xf numFmtId="0" fontId="18" fillId="6" borderId="39" xfId="0" applyFont="1" applyFill="1" applyBorder="1" applyAlignment="1">
      <alignment horizontal="center" vertical="center"/>
    </xf>
    <xf numFmtId="164" fontId="12" fillId="0" borderId="57" xfId="1" applyFont="1" applyBorder="1" applyAlignment="1">
      <alignment horizontal="center" vertical="center"/>
    </xf>
    <xf numFmtId="0" fontId="21" fillId="4" borderId="41" xfId="0" applyFont="1" applyFill="1" applyBorder="1" applyAlignment="1">
      <alignment horizontal="center" vertical="center"/>
    </xf>
    <xf numFmtId="0" fontId="22" fillId="4" borderId="41" xfId="0" applyFont="1" applyFill="1" applyBorder="1" applyAlignment="1">
      <alignment horizontal="center" vertical="center"/>
    </xf>
    <xf numFmtId="164" fontId="16" fillId="0" borderId="57" xfId="1" applyFont="1" applyBorder="1" applyAlignment="1">
      <alignment horizontal="center" vertical="center"/>
    </xf>
    <xf numFmtId="0" fontId="12" fillId="12" borderId="57" xfId="0" applyFont="1" applyFill="1" applyBorder="1" applyAlignment="1">
      <alignment horizontal="center" vertical="center"/>
    </xf>
    <xf numFmtId="0" fontId="12" fillId="6" borderId="42" xfId="0" applyFont="1" applyFill="1" applyBorder="1" applyAlignment="1">
      <alignment horizontal="center" vertical="center"/>
    </xf>
    <xf numFmtId="177" fontId="12" fillId="0" borderId="57" xfId="1" applyNumberFormat="1" applyFont="1" applyBorder="1" applyAlignment="1">
      <alignment horizontal="center" vertical="center"/>
    </xf>
    <xf numFmtId="177" fontId="16" fillId="0" borderId="58" xfId="1" applyNumberFormat="1" applyFont="1" applyBorder="1" applyAlignment="1">
      <alignment horizontal="center" vertical="center"/>
    </xf>
    <xf numFmtId="0" fontId="16" fillId="0" borderId="14" xfId="0" applyFont="1" applyFill="1" applyBorder="1" applyAlignment="1">
      <alignment horizontal="center" vertical="center"/>
    </xf>
    <xf numFmtId="0" fontId="16" fillId="4" borderId="31" xfId="0" applyFont="1" applyFill="1" applyBorder="1" applyAlignment="1">
      <alignment horizontal="center"/>
    </xf>
    <xf numFmtId="10" fontId="19" fillId="4" borderId="31" xfId="0" applyNumberFormat="1" applyFont="1" applyFill="1" applyBorder="1"/>
    <xf numFmtId="179" fontId="22" fillId="0" borderId="58" xfId="0" applyNumberFormat="1" applyFont="1" applyFill="1" applyBorder="1" applyAlignment="1">
      <alignment horizontal="center"/>
    </xf>
    <xf numFmtId="179" fontId="22" fillId="0" borderId="59" xfId="0" applyNumberFormat="1" applyFont="1" applyFill="1" applyBorder="1" applyAlignment="1">
      <alignment horizontal="center"/>
    </xf>
    <xf numFmtId="177" fontId="16" fillId="0" borderId="56" xfId="1" applyNumberFormat="1" applyFont="1" applyBorder="1" applyAlignment="1">
      <alignment horizontal="center" vertical="center"/>
    </xf>
    <xf numFmtId="177" fontId="16" fillId="0" borderId="37" xfId="1" applyNumberFormat="1" applyFont="1" applyBorder="1" applyAlignment="1">
      <alignment horizontal="center" vertical="center"/>
    </xf>
    <xf numFmtId="0" fontId="16" fillId="0" borderId="60" xfId="0" applyFont="1" applyFill="1" applyBorder="1" applyAlignment="1">
      <alignment horizontal="center" vertical="center"/>
    </xf>
    <xf numFmtId="0" fontId="16" fillId="4" borderId="7" xfId="0" applyFont="1" applyFill="1" applyBorder="1" applyAlignment="1">
      <alignment horizontal="center"/>
    </xf>
    <xf numFmtId="10" fontId="19" fillId="4" borderId="7" xfId="0" applyNumberFormat="1" applyFont="1" applyFill="1" applyBorder="1"/>
    <xf numFmtId="177" fontId="16" fillId="0" borderId="56" xfId="1" applyNumberFormat="1" applyFont="1" applyFill="1" applyBorder="1" applyAlignment="1">
      <alignment horizontal="center" vertical="center"/>
    </xf>
    <xf numFmtId="177" fontId="16" fillId="0" borderId="37" xfId="1" applyNumberFormat="1" applyFont="1" applyFill="1" applyBorder="1" applyAlignment="1">
      <alignment horizontal="center" vertical="center"/>
    </xf>
    <xf numFmtId="0" fontId="16" fillId="0" borderId="6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177" fontId="16" fillId="0" borderId="38" xfId="1" applyNumberFormat="1" applyFont="1" applyFill="1" applyBorder="1" applyAlignment="1">
      <alignment horizontal="center" vertical="center"/>
    </xf>
    <xf numFmtId="0" fontId="16" fillId="0" borderId="61" xfId="0" applyFont="1" applyFill="1" applyBorder="1" applyAlignment="1">
      <alignment horizontal="center" vertical="center"/>
    </xf>
    <xf numFmtId="0" fontId="16" fillId="4" borderId="62" xfId="0" applyFont="1" applyFill="1" applyBorder="1" applyAlignment="1">
      <alignment horizontal="center"/>
    </xf>
    <xf numFmtId="10" fontId="19" fillId="4" borderId="63" xfId="0" applyNumberFormat="1" applyFont="1" applyFill="1" applyBorder="1"/>
    <xf numFmtId="179" fontId="22" fillId="0" borderId="39" xfId="0" applyNumberFormat="1" applyFont="1" applyFill="1" applyBorder="1" applyAlignment="1">
      <alignment horizontal="center"/>
    </xf>
    <xf numFmtId="179" fontId="22" fillId="0" borderId="5" xfId="0" applyNumberFormat="1" applyFont="1" applyFill="1" applyBorder="1" applyAlignment="1">
      <alignment horizontal="center"/>
    </xf>
    <xf numFmtId="177" fontId="16" fillId="0" borderId="39" xfId="1" applyNumberFormat="1" applyFont="1" applyBorder="1" applyAlignment="1">
      <alignment horizontal="center" vertical="center"/>
    </xf>
    <xf numFmtId="1" fontId="0" fillId="9" borderId="32" xfId="0" applyNumberFormat="1" applyFill="1" applyBorder="1" applyAlignment="1">
      <alignment horizontal="center" vertical="center"/>
    </xf>
    <xf numFmtId="10" fontId="8" fillId="9" borderId="39" xfId="2" applyNumberFormat="1" applyFill="1" applyBorder="1" applyAlignment="1">
      <alignment horizontal="center" vertical="center"/>
    </xf>
    <xf numFmtId="0" fontId="12" fillId="8" borderId="57" xfId="0" applyFont="1" applyFill="1" applyBorder="1" applyAlignment="1">
      <alignment horizontal="center" vertical="center"/>
    </xf>
    <xf numFmtId="169" fontId="0" fillId="9" borderId="56" xfId="0" applyNumberFormat="1" applyFill="1" applyBorder="1" applyAlignment="1">
      <alignment horizontal="center" vertical="center"/>
    </xf>
    <xf numFmtId="169" fontId="0" fillId="9" borderId="39" xfId="0" applyNumberFormat="1" applyFill="1" applyBorder="1" applyAlignment="1">
      <alignment horizontal="center" vertical="center"/>
    </xf>
    <xf numFmtId="179" fontId="0" fillId="10" borderId="57" xfId="0" applyNumberFormat="1" applyFill="1" applyBorder="1" applyAlignment="1">
      <alignment horizontal="center" vertical="center"/>
    </xf>
    <xf numFmtId="0" fontId="22" fillId="12" borderId="32" xfId="0" applyFont="1" applyFill="1" applyBorder="1" applyAlignment="1">
      <alignment horizontal="center" vertical="center"/>
    </xf>
    <xf numFmtId="0" fontId="22" fillId="6" borderId="57" xfId="0" applyFont="1" applyFill="1" applyBorder="1" applyAlignment="1">
      <alignment horizontal="center" vertical="center"/>
    </xf>
    <xf numFmtId="0" fontId="1" fillId="15" borderId="6" xfId="0" applyFont="1" applyFill="1" applyBorder="1" applyAlignment="1">
      <alignment horizontal="center" vertical="center" wrapText="1"/>
    </xf>
    <xf numFmtId="0" fontId="1" fillId="16" borderId="6" xfId="0" applyFont="1" applyFill="1" applyBorder="1" applyAlignment="1">
      <alignment horizontal="center" vertical="center" wrapText="1"/>
    </xf>
    <xf numFmtId="0" fontId="1" fillId="17" borderId="6" xfId="0" applyFont="1" applyFill="1" applyBorder="1" applyAlignment="1">
      <alignment horizontal="center" vertical="center" wrapText="1"/>
    </xf>
    <xf numFmtId="0" fontId="1" fillId="18" borderId="6" xfId="0" applyFont="1" applyFill="1" applyBorder="1" applyAlignment="1">
      <alignment horizontal="center" vertical="center" wrapText="1"/>
    </xf>
    <xf numFmtId="0" fontId="1" fillId="7" borderId="6" xfId="0" applyFont="1" applyFill="1" applyBorder="1" applyAlignment="1">
      <alignment horizontal="center" vertical="center" wrapText="1"/>
    </xf>
    <xf numFmtId="9" fontId="23" fillId="3" borderId="16" xfId="0" applyNumberFormat="1" applyFont="1" applyFill="1" applyBorder="1" applyAlignment="1">
      <alignment horizontal="center" vertical="center"/>
    </xf>
    <xf numFmtId="0" fontId="23" fillId="3" borderId="17" xfId="0" applyFont="1" applyFill="1" applyBorder="1" applyAlignment="1">
      <alignment horizontal="center" vertical="center"/>
    </xf>
    <xf numFmtId="9" fontId="23" fillId="3" borderId="19" xfId="0" applyNumberFormat="1" applyFont="1" applyFill="1" applyBorder="1" applyAlignment="1">
      <alignment horizontal="center" vertical="center"/>
    </xf>
    <xf numFmtId="0" fontId="23" fillId="3" borderId="20" xfId="0" applyFont="1" applyFill="1" applyBorder="1" applyAlignment="1">
      <alignment horizontal="center" vertical="center"/>
    </xf>
    <xf numFmtId="9" fontId="23" fillId="3" borderId="0" xfId="0" applyNumberFormat="1" applyFont="1" applyFill="1" applyBorder="1" applyAlignment="1">
      <alignment horizontal="center" vertical="center"/>
    </xf>
    <xf numFmtId="0" fontId="23" fillId="3" borderId="22" xfId="0" applyFont="1" applyFill="1" applyBorder="1" applyAlignment="1">
      <alignment horizontal="center" vertical="center"/>
    </xf>
    <xf numFmtId="9" fontId="23" fillId="3" borderId="24" xfId="0" applyNumberFormat="1" applyFont="1" applyFill="1" applyBorder="1" applyAlignment="1">
      <alignment horizontal="center" vertical="center"/>
    </xf>
    <xf numFmtId="0" fontId="23" fillId="3" borderId="25" xfId="0" applyFont="1" applyFill="1" applyBorder="1" applyAlignment="1">
      <alignment horizontal="center" vertical="center"/>
    </xf>
    <xf numFmtId="0" fontId="25" fillId="3" borderId="24" xfId="0" applyFont="1" applyFill="1" applyBorder="1"/>
    <xf numFmtId="0" fontId="5" fillId="2" borderId="30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9" fontId="24" fillId="3" borderId="16" xfId="0" applyNumberFormat="1" applyFont="1" applyFill="1" applyBorder="1" applyAlignment="1">
      <alignment horizontal="center" vertical="center"/>
    </xf>
    <xf numFmtId="0" fontId="24" fillId="3" borderId="19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/>
    </xf>
    <xf numFmtId="9" fontId="24" fillId="3" borderId="19" xfId="0" applyNumberFormat="1" applyFont="1" applyFill="1" applyBorder="1" applyAlignment="1">
      <alignment horizontal="center" vertical="center"/>
    </xf>
    <xf numFmtId="0" fontId="16" fillId="8" borderId="44" xfId="0" applyFont="1" applyFill="1" applyBorder="1" applyAlignment="1">
      <alignment horizontal="left" vertical="center"/>
    </xf>
    <xf numFmtId="0" fontId="16" fillId="8" borderId="48" xfId="0" applyFont="1" applyFill="1" applyBorder="1" applyAlignment="1">
      <alignment horizontal="left" vertical="center"/>
    </xf>
    <xf numFmtId="0" fontId="16" fillId="8" borderId="3" xfId="0" applyFont="1" applyFill="1" applyBorder="1" applyAlignment="1">
      <alignment horizontal="left" vertical="center"/>
    </xf>
    <xf numFmtId="0" fontId="16" fillId="8" borderId="53" xfId="0" applyFont="1" applyFill="1" applyBorder="1" applyAlignment="1">
      <alignment horizontal="left" vertical="center"/>
    </xf>
    <xf numFmtId="0" fontId="19" fillId="4" borderId="40" xfId="0" applyFont="1" applyFill="1" applyBorder="1" applyAlignment="1">
      <alignment horizontal="center" vertical="center"/>
    </xf>
    <xf numFmtId="0" fontId="19" fillId="4" borderId="42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left" vertical="center" wrapText="1"/>
    </xf>
    <xf numFmtId="0" fontId="7" fillId="2" borderId="27" xfId="0" applyFont="1" applyFill="1" applyBorder="1" applyAlignment="1">
      <alignment horizontal="left" vertical="center" wrapText="1"/>
    </xf>
    <xf numFmtId="0" fontId="7" fillId="2" borderId="28" xfId="0" applyFont="1" applyFill="1" applyBorder="1" applyAlignment="1">
      <alignment horizontal="left" vertical="center" wrapText="1"/>
    </xf>
    <xf numFmtId="0" fontId="7" fillId="2" borderId="13" xfId="0" applyFont="1" applyFill="1" applyBorder="1" applyAlignment="1">
      <alignment horizontal="left" vertical="center" wrapText="1"/>
    </xf>
    <xf numFmtId="0" fontId="7" fillId="2" borderId="14" xfId="0" applyFont="1" applyFill="1" applyBorder="1" applyAlignment="1">
      <alignment horizontal="left" vertical="center" wrapText="1"/>
    </xf>
    <xf numFmtId="0" fontId="7" fillId="2" borderId="29" xfId="0" applyFont="1" applyFill="1" applyBorder="1" applyAlignment="1">
      <alignment horizontal="left" vertical="center" wrapText="1"/>
    </xf>
  </cellXfs>
  <cellStyles count="3">
    <cellStyle name="Comma" xfId="1" builtinId="3"/>
    <cellStyle name="Normal" xfId="0" builtinId="0"/>
    <cellStyle name="Percent" xfId="2" builtinId="5"/>
  </cellStyles>
  <dxfs count="37"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7"/>
        </patternFill>
      </fill>
    </dxf>
  </dxfs>
  <tableStyles count="0" defaultTableStyle="TableStyleMedium2" defaultPivotStyle="PivotStyleLight16"/>
  <colors>
    <mruColors>
      <color rgb="FFFF0000"/>
      <color rgb="FF009900"/>
      <color rgb="FF00CC00"/>
      <color rgb="FF00FF99"/>
      <color rgb="FF00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autoTitleDeleted val="0"/>
    <c:plotArea>
      <c:layout>
        <c:manualLayout>
          <c:layoutTarget val="inner"/>
          <c:xMode val="edge"/>
          <c:yMode val="edge"/>
          <c:x val="0"/>
          <c:y val="0"/>
          <c:w val="1"/>
          <c:h val="1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>
              <a:gsLst>
                <a:gs pos="0">
                  <a:schemeClr val="accent5"/>
                </a:gs>
                <a:gs pos="100000">
                  <a:schemeClr val="accent5">
                    <a:lumMod val="84000"/>
                  </a:schemeClr>
                </a:gs>
              </a:gsLst>
              <a:lin ang="5400000" scaled="1"/>
            </a:gra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'Sheet1 (6)'!$CB$24:$CB$31</c:f>
              <c:strCache>
                <c:ptCount val="8"/>
                <c:pt idx="0">
                  <c:v>CAD</c:v>
                </c:pt>
                <c:pt idx="1">
                  <c:v>AUD</c:v>
                </c:pt>
                <c:pt idx="2">
                  <c:v>GBP</c:v>
                </c:pt>
                <c:pt idx="3">
                  <c:v>USD</c:v>
                </c:pt>
                <c:pt idx="4">
                  <c:v>CHF</c:v>
                </c:pt>
                <c:pt idx="5">
                  <c:v>EUR</c:v>
                </c:pt>
                <c:pt idx="6">
                  <c:v>JPY</c:v>
                </c:pt>
                <c:pt idx="7">
                  <c:v>NZD</c:v>
                </c:pt>
              </c:strCache>
            </c:strRef>
          </c:cat>
          <c:val>
            <c:numRef>
              <c:f>'Sheet1 (6)'!$CC$24:$CC$31</c:f>
              <c:numCache>
                <c:formatCode>0%</c:formatCode>
                <c:ptCount val="8"/>
                <c:pt idx="0">
                  <c:v>0.77879386316056198</c:v>
                </c:pt>
                <c:pt idx="1">
                  <c:v>0.65103876766383018</c:v>
                </c:pt>
                <c:pt idx="2">
                  <c:v>0.61692829997703169</c:v>
                </c:pt>
                <c:pt idx="3">
                  <c:v>0.61593540038287209</c:v>
                </c:pt>
                <c:pt idx="4">
                  <c:v>0.47499279830418295</c:v>
                </c:pt>
                <c:pt idx="5">
                  <c:v>0.41063694243944848</c:v>
                </c:pt>
                <c:pt idx="6">
                  <c:v>0.28549936424636019</c:v>
                </c:pt>
                <c:pt idx="7">
                  <c:v>0.1661745638257123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1"/>
        <c:axId val="74211712"/>
        <c:axId val="74213248"/>
      </c:barChart>
      <c:catAx>
        <c:axId val="742117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4213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4213248"/>
        <c:scaling>
          <c:orientation val="minMax"/>
          <c:max val="1"/>
          <c:min val="0"/>
        </c:scaling>
        <c:delete val="1"/>
        <c:axPos val="l"/>
        <c:numFmt formatCode="0%" sourceLinked="1"/>
        <c:majorTickMark val="out"/>
        <c:minorTickMark val="none"/>
        <c:tickLblPos val="nextTo"/>
        <c:crossAx val="74211712"/>
        <c:crosses val="autoZero"/>
        <c:crossBetween val="between"/>
        <c:majorUnit val="0.2"/>
      </c:valAx>
      <c:spPr>
        <a:noFill/>
        <a:ln w="25400">
          <a:noFill/>
        </a:ln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0033" r="0.75000000000000033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"/>
          <c:y val="6.0000000000002272E-4"/>
          <c:w val="1"/>
          <c:h val="0.9993999999999999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'Sheet1 (6)'!$B$9:$AD$9</c:f>
              <c:strCache>
                <c:ptCount val="29"/>
                <c:pt idx="0">
                  <c:v>XAUUSD</c:v>
                </c:pt>
                <c:pt idx="1">
                  <c:v>AUDCAD</c:v>
                </c:pt>
                <c:pt idx="2">
                  <c:v>AUDCHF</c:v>
                </c:pt>
                <c:pt idx="3">
                  <c:v>AUDJPY</c:v>
                </c:pt>
                <c:pt idx="4">
                  <c:v>AUDNZD</c:v>
                </c:pt>
                <c:pt idx="5">
                  <c:v>AUDUSD</c:v>
                </c:pt>
                <c:pt idx="6">
                  <c:v>CADCHF</c:v>
                </c:pt>
                <c:pt idx="7">
                  <c:v>CADJPY</c:v>
                </c:pt>
                <c:pt idx="8">
                  <c:v>CHFJPY</c:v>
                </c:pt>
                <c:pt idx="9">
                  <c:v>EURAUD</c:v>
                </c:pt>
                <c:pt idx="10">
                  <c:v>EURCAD</c:v>
                </c:pt>
                <c:pt idx="11">
                  <c:v>EURCHF</c:v>
                </c:pt>
                <c:pt idx="12">
                  <c:v>EURGBP</c:v>
                </c:pt>
                <c:pt idx="13">
                  <c:v>EURJPY</c:v>
                </c:pt>
                <c:pt idx="14">
                  <c:v>EURNZD</c:v>
                </c:pt>
                <c:pt idx="15">
                  <c:v>EURUSD</c:v>
                </c:pt>
                <c:pt idx="16">
                  <c:v>GBPAUD</c:v>
                </c:pt>
                <c:pt idx="17">
                  <c:v>GBPCAD</c:v>
                </c:pt>
                <c:pt idx="18">
                  <c:v>GBPCHF</c:v>
                </c:pt>
                <c:pt idx="19">
                  <c:v>GBPJPY</c:v>
                </c:pt>
                <c:pt idx="20">
                  <c:v>GBPNZD</c:v>
                </c:pt>
                <c:pt idx="21">
                  <c:v>GBPUSD</c:v>
                </c:pt>
                <c:pt idx="22">
                  <c:v>NZDCAD</c:v>
                </c:pt>
                <c:pt idx="23">
                  <c:v>NZDCHF</c:v>
                </c:pt>
                <c:pt idx="24">
                  <c:v>NZDJPY</c:v>
                </c:pt>
                <c:pt idx="25">
                  <c:v>NZDUSD</c:v>
                </c:pt>
                <c:pt idx="26">
                  <c:v>USDCAD</c:v>
                </c:pt>
                <c:pt idx="27">
                  <c:v>USDCHF</c:v>
                </c:pt>
                <c:pt idx="28">
                  <c:v>USDJPY</c:v>
                </c:pt>
              </c:strCache>
            </c:strRef>
          </c:cat>
          <c:val>
            <c:numRef>
              <c:f>'Sheet1 (6)'!$B$10:$AD$10</c:f>
              <c:numCache>
                <c:formatCode>0%</c:formatCode>
                <c:ptCount val="29"/>
                <c:pt idx="0">
                  <c:v>0.31765463917524756</c:v>
                </c:pt>
                <c:pt idx="1">
                  <c:v>0.20698689956332572</c:v>
                </c:pt>
                <c:pt idx="2">
                  <c:v>0.75503355704698016</c:v>
                </c:pt>
                <c:pt idx="3">
                  <c:v>0.80087527352297805</c:v>
                </c:pt>
                <c:pt idx="4">
                  <c:v>0.83580320094843208</c:v>
                </c:pt>
                <c:pt idx="5">
                  <c:v>0.59814528593507621</c:v>
                </c:pt>
                <c:pt idx="6">
                  <c:v>0.69127516778523312</c:v>
                </c:pt>
                <c:pt idx="7">
                  <c:v>0.81111741349971633</c:v>
                </c:pt>
                <c:pt idx="8">
                  <c:v>0.66666666666666985</c:v>
                </c:pt>
                <c:pt idx="9">
                  <c:v>0.17618170656844342</c:v>
                </c:pt>
                <c:pt idx="10">
                  <c:v>0.25290806754221212</c:v>
                </c:pt>
                <c:pt idx="11">
                  <c:v>0.42151675485010359</c:v>
                </c:pt>
                <c:pt idx="12">
                  <c:v>0.1558139534883741</c:v>
                </c:pt>
                <c:pt idx="13">
                  <c:v>0.78655199374511575</c:v>
                </c:pt>
                <c:pt idx="14">
                  <c:v>0.75483616265297948</c:v>
                </c:pt>
                <c:pt idx="15">
                  <c:v>0.3266499582289113</c:v>
                </c:pt>
                <c:pt idx="16">
                  <c:v>0.46339113680153715</c:v>
                </c:pt>
                <c:pt idx="17">
                  <c:v>0.31305903398926621</c:v>
                </c:pt>
                <c:pt idx="18">
                  <c:v>0.66312997347480251</c:v>
                </c:pt>
                <c:pt idx="19">
                  <c:v>0.7866407263294467</c:v>
                </c:pt>
                <c:pt idx="20">
                  <c:v>0.85343709468222995</c:v>
                </c:pt>
                <c:pt idx="21">
                  <c:v>0.39465408805031443</c:v>
                </c:pt>
                <c:pt idx="22">
                  <c:v>5.8144695960942315E-2</c:v>
                </c:pt>
                <c:pt idx="23">
                  <c:v>0.14583333333333082</c:v>
                </c:pt>
                <c:pt idx="24">
                  <c:v>0.32871720116617598</c:v>
                </c:pt>
                <c:pt idx="25">
                  <c:v>7.460317460317839E-2</c:v>
                </c:pt>
                <c:pt idx="26">
                  <c:v>0.21973684210526961</c:v>
                </c:pt>
                <c:pt idx="27">
                  <c:v>0.66492829204693926</c:v>
                </c:pt>
                <c:pt idx="28">
                  <c:v>0.82093517534537597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1"/>
        <c:axId val="74229632"/>
        <c:axId val="74231168"/>
      </c:barChart>
      <c:catAx>
        <c:axId val="74229632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74231168"/>
        <c:crosses val="autoZero"/>
        <c:auto val="1"/>
        <c:lblAlgn val="ctr"/>
        <c:lblOffset val="100"/>
        <c:noMultiLvlLbl val="0"/>
      </c:catAx>
      <c:valAx>
        <c:axId val="74231168"/>
        <c:scaling>
          <c:orientation val="minMax"/>
          <c:max val="1"/>
        </c:scaling>
        <c:delete val="1"/>
        <c:axPos val="l"/>
        <c:majorGridlines>
          <c:spPr>
            <a:ln w="1587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>
              <a:outerShdw blurRad="50800" dist="50800" dir="5400000" sx="2000" sy="2000" algn="ctr" rotWithShape="0">
                <a:srgbClr val="000000">
                  <a:alpha val="43137"/>
                </a:srgbClr>
              </a:outerShdw>
            </a:effectLst>
          </c:spPr>
        </c:majorGridlines>
        <c:numFmt formatCode="0%" sourceLinked="1"/>
        <c:majorTickMark val="out"/>
        <c:minorTickMark val="none"/>
        <c:tickLblPos val="nextTo"/>
        <c:crossAx val="74229632"/>
        <c:crosses val="autoZero"/>
        <c:crossBetween val="between"/>
        <c:majorUnit val="0.25"/>
      </c:valAx>
      <c:spPr>
        <a:noFill/>
        <a:ln w="15875">
          <a:solidFill>
            <a:schemeClr val="tx1">
              <a:lumMod val="15000"/>
              <a:lumOff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19049</xdr:colOff>
      <xdr:row>0</xdr:row>
      <xdr:rowOff>0</xdr:rowOff>
    </xdr:from>
    <xdr:to>
      <xdr:col>38</xdr:col>
      <xdr:colOff>685799</xdr:colOff>
      <xdr:row>7</xdr:row>
      <xdr:rowOff>228600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247649</xdr:colOff>
      <xdr:row>0</xdr:row>
      <xdr:rowOff>0</xdr:rowOff>
    </xdr:from>
    <xdr:to>
      <xdr:col>30</xdr:col>
      <xdr:colOff>0</xdr:colOff>
      <xdr:row>7</xdr:row>
      <xdr:rowOff>230443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VAULT/Sentiment%20Dail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TIME">
    <ddeItems>
      <ddeItem name="AUDCAD" advise="1">
        <values>
          <value>
            <val>42412.999305555553</val>
          </value>
        </values>
      </ddeItem>
      <ddeItem name="AUDCHF" advise="1">
        <values>
          <value>
            <val>42412.999305555553</val>
          </value>
        </values>
      </ddeItem>
      <ddeItem name="AUDJPY" advise="1">
        <values>
          <value>
            <val>42412.999305555553</val>
          </value>
        </values>
      </ddeItem>
      <ddeItem name="AUDNZD" advise="1">
        <values>
          <value>
            <val>42412.999305555553</val>
          </value>
        </values>
      </ddeItem>
      <ddeItem name="AUDUSD" advise="1">
        <values>
          <value>
            <val>42412.999305555553</val>
          </value>
        </values>
      </ddeItem>
      <ddeItem name="CADCHF" advise="1">
        <values>
          <value>
            <val>42412.999305555553</val>
          </value>
        </values>
      </ddeItem>
      <ddeItem name="CADJPY" advise="1">
        <values>
          <value>
            <val>42412.999305555553</val>
          </value>
        </values>
      </ddeItem>
      <ddeItem name="CHFJPY" advise="1">
        <values>
          <value>
            <val>42412.999305555553</val>
          </value>
        </values>
      </ddeItem>
      <ddeItem name="EURAUD" advise="1">
        <values>
          <value>
            <val>42412.999305555553</val>
          </value>
        </values>
      </ddeItem>
      <ddeItem name="EURCAD" advise="1">
        <values>
          <value>
            <val>42412.999305555553</val>
          </value>
        </values>
      </ddeItem>
      <ddeItem name="EURCHF" advise="1">
        <values>
          <value>
            <val>42412.999305555553</val>
          </value>
        </values>
      </ddeItem>
      <ddeItem name="EURGBP" advise="1">
        <values>
          <value>
            <val>42412.999305555553</val>
          </value>
        </values>
      </ddeItem>
      <ddeItem name="EURJPY" advise="1">
        <values>
          <value>
            <val>42412.999305555553</val>
          </value>
        </values>
      </ddeItem>
      <ddeItem name="EURNZD" advise="1">
        <values>
          <value>
            <val>42412.999305555553</val>
          </value>
        </values>
      </ddeItem>
      <ddeItem name="EURUSD" advise="1">
        <values>
          <value>
            <val>42412.999305555553</val>
          </value>
        </values>
      </ddeItem>
      <ddeItem name="GBPAUD" advise="1">
        <values>
          <value>
            <val>42412.998611111114</val>
          </value>
        </values>
      </ddeItem>
      <ddeItem name="GBPCAD" advise="1">
        <values>
          <value>
            <val>42412.999305555553</val>
          </value>
        </values>
      </ddeItem>
      <ddeItem name="GBPCHF" advise="1">
        <values>
          <value>
            <val>42412.998611111114</val>
          </value>
        </values>
      </ddeItem>
      <ddeItem name="GBPJPY" advise="1">
        <values>
          <value>
            <val>42412.999305555553</val>
          </value>
        </values>
      </ddeItem>
      <ddeItem name="GBPNZD" advise="1">
        <values>
          <value>
            <val>42412.999305555553</val>
          </value>
        </values>
      </ddeItem>
      <ddeItem name="GBPUSD" advise="1">
        <values>
          <value>
            <val>42412.999305555553</val>
          </value>
        </values>
      </ddeItem>
      <ddeItem name="NZDCAD" advise="1">
        <values>
          <value>
            <val>42412.999305555553</val>
          </value>
        </values>
      </ddeItem>
      <ddeItem name="NZDCHF" advise="1">
        <values>
          <value>
            <val>42412.999305555553</val>
          </value>
        </values>
      </ddeItem>
      <ddeItem name="NZDJPY" advise="1">
        <values>
          <value>
            <val>42412.999305555553</val>
          </value>
        </values>
      </ddeItem>
      <ddeItem name="NZDUSD" advise="1">
        <values>
          <value>
            <val>42412.999305555553</val>
          </value>
        </values>
      </ddeItem>
      <ddeItem name="StdDocumentName" ole="1" advise="1"/>
      <ddeItem name="USDCAD" advise="1">
        <values>
          <value>
            <val>42412.999305555553</val>
          </value>
        </values>
      </ddeItem>
      <ddeItem name="USDCHF" advise="1">
        <values>
          <value>
            <val>42412.999305555553</val>
          </value>
        </values>
      </ddeItem>
      <ddeItem name="USDJPY" advise="1">
        <values>
          <value>
            <val>42412.999305555553</val>
          </value>
        </values>
      </ddeItem>
      <ddeItem name="XAUUSD" advise="1">
        <values>
          <value>
            <val>42412.999305555553</val>
          </value>
        </values>
      </ddeItem>
    </ddeItems>
  </ddeLin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HIGH">
    <ddeItems>
      <ddeItem name="#CCH5" advise="1"/>
      <ddeItem name="#CCN5" advise="1"/>
      <ddeItem name="#CHMF" advise="1"/>
      <ddeItem name="#CL" advise="1"/>
      <ddeItem name="#COMPQ" advise="1"/>
      <ddeItem name="#CTH5" advise="1"/>
      <ddeItem name="#DAX" advise="1"/>
      <ddeItem name="#FEES" advise="1"/>
      <ddeItem name="#FTSE" advise="1"/>
      <ddeItem name="#GCJ5" advise="1"/>
      <ddeItem name="#GFK5" advise="1"/>
      <ddeItem name="#HEG5" advise="1"/>
      <ddeItem name="#HGJ5" advise="1"/>
      <ddeItem name="#HOG5" advise="1"/>
      <ddeItem name="#HSI" advise="1"/>
      <ddeItem name="#INDU" advise="1"/>
      <ddeItem name="#JON5" advise="1"/>
      <ddeItem name="#KCK5" advise="1"/>
      <ddeItem name="#KCN5" advise="1"/>
      <ddeItem name="#LBSN5" advise="1"/>
      <ddeItem name="#LEJ5" advise="1"/>
      <ddeItem name="#MICEX" advise="1"/>
      <ddeItem name="#N100" advise="1"/>
      <ddeItem name="#N225" advise="1"/>
      <ddeItem name="#NG" advise="1"/>
      <ddeItem name="#PAF" advise="1"/>
      <ddeItem name="#PLF" advise="1"/>
      <ddeItem name="#PLZL" advise="1"/>
      <ddeItem name="#QGK5" advise="1"/>
      <ddeItem name="#QMM5" advise="1"/>
      <ddeItem name="#RTSI" advise="1"/>
      <ddeItem name="#SBK5" advise="1"/>
      <ddeItem name="#SBN5" advise="1"/>
      <ddeItem name="#SIJ5" advise="1"/>
      <ddeItem name="#SPX" advise="1"/>
      <ddeItem name="#TRNFP" advise="1"/>
      <ddeItem name="#USDX" advise="1"/>
      <ddeItem name="#XBZM5" advise="1"/>
      <ddeItem name="#XRBK5" advise="1"/>
      <ddeItem name="#ZCN5" advise="1"/>
      <ddeItem name="#ZLK5" advise="1"/>
      <ddeItem name="#ZLN5" advise="1"/>
      <ddeItem name="#ZMN5" advise="1"/>
      <ddeItem name="#ZSN5" advise="1"/>
      <ddeItem name="#ZWN5" advise="1"/>
      <ddeItem name="6AM1" advise="1"/>
      <ddeItem name="6BM1" advise="1"/>
      <ddeItem name="6EM1" advise="1"/>
      <ddeItem name="6NM1" advise="1"/>
      <ddeItem name="6SM1" advise="1"/>
      <ddeItem name="AUDCAD" advise="1">
        <values>
          <value>
            <val>0.99231000000000003</val>
          </value>
        </values>
      </ddeItem>
      <ddeItem name="AUDCHF" advise="1">
        <values>
          <value>
            <val>0.69469000000000003</val>
          </value>
        </values>
      </ddeItem>
      <ddeItem name="AUDJPY" advise="1">
        <values>
          <value>
            <val>80.64</val>
          </value>
        </values>
      </ddeItem>
      <ddeItem name="AUDNZD" advise="1">
        <values>
          <value>
            <val>1.0738099999999999</val>
          </value>
        </values>
      </ddeItem>
      <ddeItem name="AUDUSD" advise="1">
        <values>
          <value>
            <val>0.71274999999999999</val>
          </value>
        </values>
      </ddeItem>
      <ddeItem name="CADCHF" advise="1">
        <values>
          <value>
            <val>0.70765999999999996</val>
          </value>
        </values>
      </ddeItem>
      <ddeItem name="CADJPY" advise="1">
        <values>
          <value>
            <val>82.037999999999997</val>
          </value>
        </values>
      </ddeItem>
      <ddeItem name="CHFJPY" advise="1">
        <values>
          <value>
            <val>116.244</val>
          </value>
        </values>
      </ddeItem>
      <ddeItem name="EURAUD" advise="1">
        <values>
          <value>
            <val>1.59632</val>
          </value>
        </values>
      </ddeItem>
      <ddeItem name="EURCAD" advise="1">
        <values>
          <value>
            <val>1.5780000000000001</val>
          </value>
        </values>
      </ddeItem>
      <ddeItem name="EURCHF" advise="1">
        <values>
          <value>
            <val>1.10209</val>
          </value>
        </values>
      </ddeItem>
      <ddeItem name="EURGBP" advise="1">
        <values>
          <value>
            <val>0.78271999999999997</val>
          </value>
        </values>
      </ddeItem>
      <ddeItem name="EURJPY" advise="1">
        <values>
          <value>
            <val>127.648</val>
          </value>
        </values>
      </ddeItem>
      <ddeItem name="EURNZD" advise="1">
        <values>
          <value>
            <val>1.7040200000000001</val>
          </value>
        </values>
      </ddeItem>
      <ddeItem name="EURUSD" advise="1">
        <values>
          <value>
            <val>1.13331</val>
          </value>
        </values>
      </ddeItem>
      <ddeItem name="GBPAUD" advise="1">
        <values>
          <value>
            <val>2.0506600000000001</val>
          </value>
        </values>
      </ddeItem>
      <ddeItem name="GBPCAD" advise="1">
        <values>
          <value>
            <val>2.0264500000000001</val>
          </value>
        </values>
      </ddeItem>
      <ddeItem name="GBPCHF" advise="1">
        <values>
          <value>
            <val>1.42117</val>
          </value>
        </values>
      </ddeItem>
      <ddeItem name="GBPJPY" advise="1">
        <values>
          <value>
            <val>164.762</val>
          </value>
        </values>
      </ddeItem>
      <ddeItem name="GBPNZD" advise="1">
        <values>
          <value>
            <val>2.1941899999999999</val>
          </value>
        </values>
      </ddeItem>
      <ddeItem name="GBPUSD" advise="1">
        <values>
          <value>
            <val>1.45692</val>
          </value>
        </values>
      </ddeItem>
      <ddeItem name="GOLD" advise="1"/>
      <ddeItem name="NZDCAD" advise="1">
        <values>
          <value>
            <val>0.93794</val>
          </value>
        </values>
      </ddeItem>
      <ddeItem name="NZDCHF" advise="1">
        <values>
          <value>
            <val>0.65510000000000002</val>
          </value>
        </values>
      </ddeItem>
      <ddeItem name="NZDJPY" advise="1">
        <values>
          <value>
            <val>75.878</val>
          </value>
        </values>
      </ddeItem>
      <ddeItem name="NZDUSD" advise="1">
        <values>
          <value>
            <val>0.67383000000000004</val>
          </value>
        </values>
      </ddeItem>
      <ddeItem name="SILVER" advise="1"/>
      <ddeItem name="StdDocumentName" ole="1" advise="1"/>
      <ddeItem name="USDCAD" advise="1">
        <values>
          <value>
            <val>1.39642</val>
          </value>
        </values>
      </ddeItem>
      <ddeItem name="USDCHF" advise="1">
        <values>
          <value>
            <val>0.97897999999999996</val>
          </value>
        </values>
      </ddeItem>
      <ddeItem name="USDJPY" advise="1">
        <values>
          <value>
            <val>113.533</val>
          </value>
        </values>
      </ddeItem>
      <ddeItem name="XAUUSD" advise="1">
        <values>
          <value>
            <val>1247.96</val>
          </value>
        </values>
      </ddeItem>
    </ddeItems>
  </ddeLin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LOW">
    <ddeItems>
      <ddeItem name="#CCH5" advise="1"/>
      <ddeItem name="#CCN5" advise="1"/>
      <ddeItem name="#CHMF" advise="1"/>
      <ddeItem name="#CL" advise="1"/>
      <ddeItem name="#COMPQ" advise="1"/>
      <ddeItem name="#CTH5" advise="1"/>
      <ddeItem name="#DAX" advise="1"/>
      <ddeItem name="#FEES" advise="1"/>
      <ddeItem name="#FTSE" advise="1"/>
      <ddeItem name="#GCJ5" advise="1"/>
      <ddeItem name="#GFK5" advise="1"/>
      <ddeItem name="#HEG5" advise="1"/>
      <ddeItem name="#HGJ5" advise="1"/>
      <ddeItem name="#HOG5" advise="1"/>
      <ddeItem name="#HSI" advise="1"/>
      <ddeItem name="#INDU" advise="1"/>
      <ddeItem name="#JON5" advise="1"/>
      <ddeItem name="#KCK5" advise="1"/>
      <ddeItem name="#KCN5" advise="1"/>
      <ddeItem name="#LBSN5" advise="1"/>
      <ddeItem name="#LEJ5" advise="1"/>
      <ddeItem name="#MICEX" advise="1"/>
      <ddeItem name="#N100" advise="1"/>
      <ddeItem name="#N225" advise="1"/>
      <ddeItem name="#NG" advise="1"/>
      <ddeItem name="#PAF" advise="1"/>
      <ddeItem name="#PLF" advise="1"/>
      <ddeItem name="#PLZL" advise="1"/>
      <ddeItem name="#QGK5" advise="1"/>
      <ddeItem name="#QMM5" advise="1"/>
      <ddeItem name="#RTSI" advise="1"/>
      <ddeItem name="#SBK5" advise="1"/>
      <ddeItem name="#SBN5" advise="1"/>
      <ddeItem name="#SIJ5" advise="1"/>
      <ddeItem name="#SPX" advise="1"/>
      <ddeItem name="#TRNFP" advise="1"/>
      <ddeItem name="#USDX" advise="1"/>
      <ddeItem name="#XBZM5" advise="1"/>
      <ddeItem name="#XRBK5" advise="1"/>
      <ddeItem name="#ZCN5" advise="1"/>
      <ddeItem name="#ZLK5" advise="1"/>
      <ddeItem name="#ZLN5" advise="1"/>
      <ddeItem name="#ZMN5" advise="1"/>
      <ddeItem name="#ZSN5" advise="1"/>
      <ddeItem name="#ZWN5" advise="1"/>
      <ddeItem name="6AM1" advise="1"/>
      <ddeItem name="6BM1" advise="1"/>
      <ddeItem name="6EM1" advise="1"/>
      <ddeItem name="6NM1" advise="1"/>
      <ddeItem name="6SM1" advise="1"/>
      <ddeItem name="AUDCAD" advise="1">
        <values>
          <value>
            <val>0.98085999999999995</val>
          </value>
        </values>
      </ddeItem>
      <ddeItem name="AUDCHF" advise="1">
        <values>
          <value>
            <val>0.68872999999999995</val>
          </value>
        </values>
      </ddeItem>
      <ddeItem name="AUDJPY" advise="1">
        <values>
          <value>
            <val>79.269000000000005</val>
          </value>
        </values>
      </ddeItem>
      <ddeItem name="AUDNZD" advise="1">
        <values>
          <value>
            <val>1.05694</val>
          </value>
        </values>
      </ddeItem>
      <ddeItem name="AUDUSD" advise="1">
        <values>
          <value>
            <val>0.70628000000000002</val>
          </value>
        </values>
      </ddeItem>
      <ddeItem name="CADCHF" advise="1">
        <values>
          <value>
            <val>0.69723000000000002</val>
          </value>
        </values>
      </ddeItem>
      <ddeItem name="CADJPY" advise="1">
        <values>
          <value>
            <val>80.275000000000006</val>
          </value>
        </values>
      </ddeItem>
      <ddeItem name="CHFJPY" advise="1">
        <values>
          <value>
            <val>114.765</val>
          </value>
        </values>
      </ddeItem>
      <ddeItem name="EURAUD" advise="1">
        <values>
          <value>
            <val>1.58003</val>
          </value>
        </values>
      </ddeItem>
      <ddeItem name="EURCAD" advise="1">
        <values>
          <value>
            <val>1.55135</val>
          </value>
        </values>
      </ddeItem>
      <ddeItem name="EURCHF" advise="1">
        <values>
          <value>
            <val>1.09642</val>
          </value>
        </values>
      </ddeItem>
      <ddeItem name="EURGBP" advise="1">
        <values>
          <value>
            <val>0.77412000000000003</val>
          </value>
        </values>
      </ddeItem>
      <ddeItem name="EURJPY" advise="1">
        <values>
          <value>
            <val>126.369</val>
          </value>
        </values>
      </ddeItem>
      <ddeItem name="EURNZD" advise="1">
        <values>
          <value>
            <val>1.67869</val>
          </value>
        </values>
      </ddeItem>
      <ddeItem name="EURUSD" advise="1">
        <values>
          <value>
            <val>1.12134</val>
          </value>
        </values>
      </ddeItem>
      <ddeItem name="GBPAUD" advise="1">
        <values>
          <value>
            <val>2.0299</val>
          </value>
        </values>
      </ddeItem>
      <ddeItem name="GBPCAD" advise="1">
        <values>
          <value>
            <val>1.9984999999999999</val>
          </value>
        </values>
      </ddeItem>
      <ddeItem name="GBPCHF" advise="1">
        <values>
          <value>
            <val>1.4060900000000001</val>
          </value>
        </values>
      </ddeItem>
      <ddeItem name="GBPJPY" advise="1">
        <values>
          <value>
            <val>161.678</val>
          </value>
        </values>
      </ddeItem>
      <ddeItem name="GBPNZD" advise="1">
        <values>
          <value>
            <val>2.1479300000000001</val>
          </value>
        </values>
      </ddeItem>
      <ddeItem name="GBPUSD" advise="1">
        <values>
          <value>
            <val>1.4441999999999999</val>
          </value>
        </values>
      </ddeItem>
      <ddeItem name="GOLD" advise="1"/>
      <ddeItem name="NZDCAD" advise="1">
        <values>
          <value>
            <val>0.91540999999999995</val>
          </value>
        </values>
      </ddeItem>
      <ddeItem name="NZDCHF" advise="1">
        <values>
          <value>
            <val>0.64502000000000004</val>
          </value>
        </values>
      </ddeItem>
      <ddeItem name="NZDJPY" advise="1">
        <values>
          <value>
            <val>74.506</val>
          </value>
        </values>
      </ddeItem>
      <ddeItem name="NZDUSD" advise="1">
        <values>
          <value>
            <val>0.66122999999999998</val>
          </value>
        </values>
      </ddeItem>
      <ddeItem name="SILVER" advise="1"/>
      <ddeItem name="StdDocumentName" ole="1" advise="1"/>
      <ddeItem name="USDCAD" advise="1">
        <values>
          <value>
            <val>1.3812199999999999</val>
          </value>
        </values>
      </ddeItem>
      <ddeItem name="USDCHF" advise="1">
        <values>
          <value>
            <val>0.97131000000000001</val>
          </value>
        </values>
      </ddeItem>
      <ddeItem name="USDJPY" advise="1">
        <values>
          <value>
            <val>111.651</val>
          </value>
        </values>
      </ddeItem>
      <ddeItem name="XAUUSD" advise="1">
        <values>
          <value>
            <val>1232.44</val>
          </value>
        </values>
      </ddeItem>
    </ddeItems>
  </ddeLin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BID">
    <ddeItems>
      <ddeItem name="#CCH5" advise="1"/>
      <ddeItem name="#CCN5" advise="1"/>
      <ddeItem name="#CHMF" advise="1"/>
      <ddeItem name="#CL" advise="1"/>
      <ddeItem name="#COMPQ" advise="1"/>
      <ddeItem name="#CTH5" advise="1"/>
      <ddeItem name="#DAX" advise="1"/>
      <ddeItem name="#FEES" advise="1"/>
      <ddeItem name="#FTSE" advise="1"/>
      <ddeItem name="#GCJ5" advise="1"/>
      <ddeItem name="#GFK5" advise="1"/>
      <ddeItem name="#HEG5" advise="1"/>
      <ddeItem name="#HGJ5" advise="1"/>
      <ddeItem name="#HOG5" advise="1"/>
      <ddeItem name="#HSI" advise="1"/>
      <ddeItem name="#INDU" advise="1"/>
      <ddeItem name="#JON5" advise="1"/>
      <ddeItem name="#KCK5" advise="1"/>
      <ddeItem name="#KCN5" advise="1"/>
      <ddeItem name="#LBSN5" advise="1"/>
      <ddeItem name="#LEJ5" advise="1"/>
      <ddeItem name="#MICEX" advise="1"/>
      <ddeItem name="#N100" advise="1"/>
      <ddeItem name="#N225" advise="1"/>
      <ddeItem name="#NG" advise="1"/>
      <ddeItem name="#PAF" advise="1"/>
      <ddeItem name="#PLF" advise="1"/>
      <ddeItem name="#PLZL" advise="1"/>
      <ddeItem name="#QGK5" advise="1"/>
      <ddeItem name="#QMM5" advise="1"/>
      <ddeItem name="#RTSI" advise="1"/>
      <ddeItem name="#SBK5" advise="1"/>
      <ddeItem name="#SBN5" advise="1"/>
      <ddeItem name="#SIJ5" advise="1"/>
      <ddeItem name="#SPX" advise="1"/>
      <ddeItem name="#TRNFP" advise="1"/>
      <ddeItem name="#USDX" advise="1"/>
      <ddeItem name="#XBZM5" advise="1"/>
      <ddeItem name="#XRBK5" advise="1"/>
      <ddeItem name="#ZCN5" advise="1"/>
      <ddeItem name="#ZLK5" advise="1"/>
      <ddeItem name="#ZLN5" advise="1"/>
      <ddeItem name="#ZMN5" advise="1"/>
      <ddeItem name="#ZSN5" advise="1"/>
      <ddeItem name="#ZWN5" advise="1"/>
      <ddeItem name="6AM1" advise="1"/>
      <ddeItem name="6BM1" advise="1"/>
      <ddeItem name="6EM1" advise="1"/>
      <ddeItem name="6NM1" advise="1"/>
      <ddeItem name="6SM1" advise="1"/>
      <ddeItem name="AUDCAD" advise="1">
        <values>
          <value>
            <val>0.98323000000000005</val>
          </value>
        </values>
      </ddeItem>
      <ddeItem name="AUDCHF" advise="1">
        <values>
          <value>
            <val>0.69323000000000001</val>
          </value>
        </values>
      </ddeItem>
      <ddeItem name="AUDJPY" advise="1">
        <values>
          <value>
            <val>80.367000000000004</val>
          </value>
        </values>
      </ddeItem>
      <ddeItem name="AUDNZD" advise="1">
        <values>
          <value>
            <val>1.07104</val>
          </value>
        </values>
      </ddeItem>
      <ddeItem name="AUDUSD" advise="1">
        <values>
          <value>
            <val>0.71014999999999995</val>
          </value>
        </values>
      </ddeItem>
      <ddeItem name="CADCHF" advise="1">
        <values>
          <value>
            <val>0.70443999999999996</val>
          </value>
        </values>
      </ddeItem>
      <ddeItem name="CADJPY" advise="1">
        <values>
          <value>
            <val>81.704999999999998</val>
          </value>
        </values>
      </ddeItem>
      <ddeItem name="CHFJPY" advise="1">
        <values>
          <value>
            <val>115.751</val>
          </value>
        </values>
      </ddeItem>
      <ddeItem name="EURAUD" advise="1">
        <values>
          <value>
            <val>1.5829</val>
          </value>
        </values>
      </ddeItem>
      <ddeItem name="EURCAD" advise="1">
        <values>
          <value>
            <val>1.55809</val>
          </value>
        </values>
      </ddeItem>
      <ddeItem name="EURCHF" advise="1">
        <values>
          <value>
            <val>1.0988100000000001</val>
          </value>
        </values>
      </ddeItem>
      <ddeItem name="EURGBP" advise="1">
        <values>
          <value>
            <val>0.77546000000000004</val>
          </value>
        </values>
      </ddeItem>
      <ddeItem name="EURJPY" advise="1">
        <values>
          <value>
            <val>127.375</val>
          </value>
        </values>
      </ddeItem>
      <ddeItem name="EURNZD" advise="1">
        <values>
          <value>
            <val>1.69781</val>
          </value>
        </values>
      </ddeItem>
      <ddeItem name="EURUSD" advise="1">
        <values>
          <value>
            <val>1.1252500000000001</val>
          </value>
        </values>
      </ddeItem>
      <ddeItem name="GBPAUD" advise="1">
        <values>
          <value>
            <val>2.03952</val>
          </value>
        </values>
      </ddeItem>
      <ddeItem name="GBPCAD" advise="1">
        <values>
          <value>
            <val>2.00725</val>
          </value>
        </values>
      </ddeItem>
      <ddeItem name="GBPCHF" advise="1">
        <values>
          <value>
            <val>1.4160900000000001</val>
          </value>
        </values>
      </ddeItem>
      <ddeItem name="GBPJPY" advise="1">
        <values>
          <value>
            <val>164.10400000000001</val>
          </value>
        </values>
      </ddeItem>
      <ddeItem name="GBPNZD" advise="1">
        <values>
          <value>
            <val>2.1874099999999999</val>
          </value>
        </values>
      </ddeItem>
      <ddeItem name="GBPUSD" advise="1">
        <values>
          <value>
            <val>1.44922</val>
          </value>
        </values>
      </ddeItem>
      <ddeItem name="GOLD" advise="1"/>
      <ddeItem name="NZDCAD" advise="1">
        <values>
          <value>
            <val>0.91671999999999998</val>
          </value>
        </values>
      </ddeItem>
      <ddeItem name="NZDCHF" advise="1">
        <values>
          <value>
            <val>0.64649000000000001</val>
          </value>
        </values>
      </ddeItem>
      <ddeItem name="NZDJPY" advise="1">
        <values>
          <value>
            <val>74.956999999999994</val>
          </value>
        </values>
      </ddeItem>
      <ddeItem name="NZDUSD" advise="1">
        <values>
          <value>
            <val>0.66217000000000004</val>
          </value>
        </values>
      </ddeItem>
      <ddeItem name="SILVER" advise="1"/>
      <ddeItem name="StdDocumentName" ole="1" advise="1"/>
      <ddeItem name="USDCAD" advise="1">
        <values>
          <value>
            <val>1.38456</val>
          </value>
        </values>
      </ddeItem>
      <ddeItem name="USDCHF" advise="1">
        <values>
          <value>
            <val>0.97641</val>
          </value>
        </values>
      </ddeItem>
      <ddeItem name="USDJPY" advise="1">
        <values>
          <value>
            <val>113.196</val>
          </value>
        </values>
      </ddeItem>
      <ddeItem name="XAUUSD" advise="1">
        <values>
          <value>
            <val>1237.3699999999999</val>
          </value>
        </values>
      </ddeItem>
    </ddeItems>
  </ddeLin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ASK">
    <ddeItems>
      <ddeItem name="#CCH5" advise="1"/>
      <ddeItem name="#CCN5" advise="1"/>
      <ddeItem name="#CHMF" advise="1"/>
      <ddeItem name="#CL" advise="1"/>
      <ddeItem name="#COMPQ" advise="1"/>
      <ddeItem name="#CTH5" advise="1"/>
      <ddeItem name="#DAX" advise="1"/>
      <ddeItem name="#FEES" advise="1"/>
      <ddeItem name="#FTSE" advise="1"/>
      <ddeItem name="#GCJ5" advise="1"/>
      <ddeItem name="#GFK5" advise="1"/>
      <ddeItem name="#HEG5" advise="1"/>
      <ddeItem name="#HGJ5" advise="1"/>
      <ddeItem name="#HOG5" advise="1"/>
      <ddeItem name="#HSI" advise="1"/>
      <ddeItem name="#INDU" advise="1"/>
      <ddeItem name="#JON5" advise="1"/>
      <ddeItem name="#KCK5" advise="1"/>
      <ddeItem name="#KCN5" advise="1"/>
      <ddeItem name="#LBSN5" advise="1"/>
      <ddeItem name="#LEJ5" advise="1"/>
      <ddeItem name="#MICEX" advise="1"/>
      <ddeItem name="#N100" advise="1"/>
      <ddeItem name="#N225" advise="1"/>
      <ddeItem name="#NG" advise="1"/>
      <ddeItem name="#PAF" advise="1"/>
      <ddeItem name="#PLF" advise="1"/>
      <ddeItem name="#PLZL" advise="1"/>
      <ddeItem name="#QGK5" advise="1"/>
      <ddeItem name="#QMM5" advise="1"/>
      <ddeItem name="#RTSI" advise="1"/>
      <ddeItem name="#SBK5" advise="1"/>
      <ddeItem name="#SBN5" advise="1"/>
      <ddeItem name="#SIJ5" advise="1"/>
      <ddeItem name="#SPX" advise="1"/>
      <ddeItem name="#TRNFP" advise="1"/>
      <ddeItem name="#USDX" advise="1"/>
      <ddeItem name="#XBZM5" advise="1"/>
      <ddeItem name="#XRBK5" advise="1"/>
      <ddeItem name="#ZCN5" advise="1"/>
      <ddeItem name="#ZLK5" advise="1"/>
      <ddeItem name="#ZLN5" advise="1"/>
      <ddeItem name="#ZMN5" advise="1"/>
      <ddeItem name="#ZSN5" advise="1"/>
      <ddeItem name="#ZWN5" advise="1"/>
      <ddeItem name="6AM1" advise="1"/>
      <ddeItem name="6BM1" advise="1"/>
      <ddeItem name="6EM1" advise="1"/>
      <ddeItem name="6NM1" advise="1"/>
      <ddeItem name="6SM1" advise="1"/>
      <ddeItem name="AUDCAD" advise="1">
        <values>
          <value>
            <val>0.98533999999999999</val>
          </value>
        </values>
      </ddeItem>
      <ddeItem name="AUDCHF" advise="1">
        <values>
          <value>
            <val>0.69569999999999999</val>
          </value>
        </values>
      </ddeItem>
      <ddeItem name="AUDJPY" advise="1">
        <values>
          <value>
            <val>80.549000000000007</val>
          </value>
        </values>
      </ddeItem>
      <ddeItem name="AUDNZD" advise="1">
        <values>
          <value>
            <val>1.0731900000000001</val>
          </value>
        </values>
      </ddeItem>
      <ddeItem name="AUDUSD" advise="1">
        <values>
          <value>
            <val>0.71111999999999997</val>
          </value>
        </values>
      </ddeItem>
      <ddeItem name="CADCHF" advise="1">
        <values>
          <value>
            <val>0.70652000000000004</val>
          </value>
        </values>
      </ddeItem>
      <ddeItem name="CADJPY" advise="1">
        <values>
          <value>
            <val>81.81</val>
          </value>
        </values>
      </ddeItem>
      <ddeItem name="CHFJPY" advise="1">
        <values>
          <value>
            <val>115.96</val>
          </value>
        </values>
      </ddeItem>
      <ddeItem name="EURAUD" advise="1">
        <values>
          <value>
            <val>1.5853699999999999</val>
          </value>
        </values>
      </ddeItem>
      <ddeItem name="EURCAD" advise="1">
        <values>
          <value>
            <val>1.55955</val>
          </value>
        </values>
      </ddeItem>
      <ddeItem name="EURCHF" advise="1">
        <values>
          <value>
            <val>1.10114</val>
          </value>
        </values>
      </ddeItem>
      <ddeItem name="EURGBP" advise="1">
        <values>
          <value>
            <val>0.77664999999999995</val>
          </value>
        </values>
      </ddeItem>
      <ddeItem name="EURJPY" advise="1">
        <values>
          <value>
            <val>127.54300000000001</val>
          </value>
        </values>
      </ddeItem>
      <ddeItem name="EURNZD" advise="1">
        <values>
          <value>
            <val>1.69889</val>
          </value>
        </values>
      </ddeItem>
      <ddeItem name="EURUSD" advise="1">
        <values>
          <value>
            <val>1.1256900000000001</val>
          </value>
        </values>
      </ddeItem>
      <ddeItem name="GBPAUD" advise="1">
        <values>
          <value>
            <val>2.0425800000000001</val>
          </value>
        </values>
      </ddeItem>
      <ddeItem name="GBPCAD" advise="1">
        <values>
          <value>
            <val>2.0093700000000001</val>
          </value>
        </values>
      </ddeItem>
      <ddeItem name="GBPCHF" advise="1">
        <values>
          <value>
            <val>1.41852</val>
          </value>
        </values>
      </ddeItem>
      <ddeItem name="GBPJPY" advise="1">
        <values>
          <value>
            <val>164.34200000000001</val>
          </value>
        </values>
      </ddeItem>
      <ddeItem name="GBPNZD" advise="1">
        <values>
          <value>
            <val>2.1895899999999999</val>
          </value>
        </values>
      </ddeItem>
      <ddeItem name="GBPUSD" advise="1">
        <values>
          <value>
            <val>1.4512499999999999</val>
          </value>
        </values>
      </ddeItem>
      <ddeItem name="GOLD" advise="1"/>
      <ddeItem name="NZDCAD" advise="1">
        <values>
          <value>
            <val>0.92042000000000002</val>
          </value>
        </values>
      </ddeItem>
      <ddeItem name="NZDCHF" advise="1">
        <values>
          <value>
            <val>0.64834999999999998</val>
          </value>
        </values>
      </ddeItem>
      <ddeItem name="NZDJPY" advise="1">
        <values>
          <value>
            <val>75.135999999999996</val>
          </value>
        </values>
      </ddeItem>
      <ddeItem name="NZDUSD" advise="1">
        <values>
          <value>
            <val>0.66330999999999996</val>
          </value>
        </values>
      </ddeItem>
      <ddeItem name="SILVER" advise="1"/>
      <ddeItem name="StdDocumentName" ole="1" advise="1"/>
      <ddeItem name="USDCAD" advise="1">
        <values>
          <value>
            <val>1.3856299999999999</val>
          </value>
        </values>
      </ddeItem>
      <ddeItem name="USDCHF" advise="1">
        <values>
          <value>
            <val>0.97757000000000005</val>
          </value>
        </values>
      </ddeItem>
      <ddeItem name="USDJPY" advise="1">
        <values>
          <value>
            <val>113.28</val>
          </value>
        </values>
      </ddeItem>
      <ddeItem name="XAUUSD" advise="1">
        <values>
          <value>
            <val>1238.3900000000001</val>
          </value>
        </values>
      </ddeItem>
    </ddeItems>
  </ddeLin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"/>
      <sheetName val="Details"/>
      <sheetName val="Sentmen"/>
      <sheetName val="1"/>
      <sheetName val="2"/>
      <sheetName val="3"/>
      <sheetName val="Inpu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R216"/>
  <sheetViews>
    <sheetView showGridLines="0" showRowColHeaders="0" tabSelected="1" topLeftCell="A26" zoomScale="90" zoomScaleNormal="90" workbookViewId="0">
      <selection activeCell="Q37" sqref="Q37"/>
    </sheetView>
  </sheetViews>
  <sheetFormatPr defaultRowHeight="15" x14ac:dyDescent="0.25"/>
  <cols>
    <col min="1" max="1" width="3.7109375" customWidth="1"/>
    <col min="2" max="28" width="10.7109375" customWidth="1"/>
    <col min="29" max="30" width="10.85546875" customWidth="1"/>
    <col min="31" max="31" width="3.42578125" customWidth="1"/>
    <col min="32" max="39" width="10.7109375" customWidth="1"/>
    <col min="40" max="40" width="3.42578125" customWidth="1"/>
    <col min="45" max="45" width="10.5703125" customWidth="1"/>
    <col min="48" max="48" width="15.5703125" customWidth="1"/>
    <col min="49" max="49" width="3.5703125" customWidth="1"/>
    <col min="91" max="92" width="14.28515625" customWidth="1"/>
    <col min="95" max="95" width="14.7109375" customWidth="1"/>
  </cols>
  <sheetData>
    <row r="1" spans="1:49" ht="18.75" customHeight="1" x14ac:dyDescent="0.25">
      <c r="A1" s="32"/>
      <c r="AE1" s="32"/>
      <c r="AN1" s="32"/>
      <c r="AO1" s="181" t="s">
        <v>315</v>
      </c>
      <c r="AP1" s="182"/>
      <c r="AQ1" s="182"/>
      <c r="AR1" s="183"/>
      <c r="AS1" s="167" t="s">
        <v>254</v>
      </c>
      <c r="AT1" s="167" t="s">
        <v>316</v>
      </c>
      <c r="AU1" s="167" t="s">
        <v>254</v>
      </c>
      <c r="AV1" s="169"/>
      <c r="AW1" s="32"/>
    </row>
    <row r="2" spans="1:49" ht="18.75" customHeight="1" x14ac:dyDescent="0.25">
      <c r="A2" s="32"/>
      <c r="AE2" s="32"/>
      <c r="AN2" s="32"/>
      <c r="AO2" s="184"/>
      <c r="AP2" s="185"/>
      <c r="AQ2" s="185"/>
      <c r="AR2" s="186"/>
      <c r="AS2" s="168"/>
      <c r="AT2" s="168"/>
      <c r="AU2" s="168"/>
      <c r="AV2" s="170"/>
      <c r="AW2" s="32"/>
    </row>
    <row r="3" spans="1:49" ht="18.75" customHeight="1" x14ac:dyDescent="0.25">
      <c r="A3" s="32"/>
      <c r="AE3" s="32"/>
      <c r="AN3" s="32"/>
      <c r="AO3" s="43" t="s">
        <v>44</v>
      </c>
      <c r="AP3" s="44" t="s">
        <v>317</v>
      </c>
      <c r="AQ3" s="44"/>
      <c r="AR3" s="38"/>
      <c r="AS3" s="171">
        <f>SUM(AU3:AU4)/2</f>
        <v>0.51378262120824014</v>
      </c>
      <c r="AT3" s="158">
        <f t="shared" ref="AT3:AT9" si="0">CX44</f>
        <v>0.41063694243944848</v>
      </c>
      <c r="AU3" s="158">
        <f>CQ56</f>
        <v>0.41063694243944848</v>
      </c>
      <c r="AV3" s="159" t="str">
        <f t="shared" ref="AV3:AV10" si="1">IF(AND(AU3&gt;=65%,AT3&gt;=65%),"STRONG",IF(AND(AU3&lt;=35%,AT3&lt;=35%),"WEAK",""))</f>
        <v/>
      </c>
      <c r="AW3" s="32"/>
    </row>
    <row r="4" spans="1:49" ht="18.75" customHeight="1" x14ac:dyDescent="0.25">
      <c r="A4" s="32"/>
      <c r="AE4" s="32"/>
      <c r="AN4" s="32"/>
      <c r="AO4" s="45" t="s">
        <v>45</v>
      </c>
      <c r="AP4" s="46" t="s">
        <v>68</v>
      </c>
      <c r="AQ4" s="46"/>
      <c r="AR4" s="39"/>
      <c r="AS4" s="172"/>
      <c r="AT4" s="160">
        <f t="shared" si="0"/>
        <v>0.61692829997703169</v>
      </c>
      <c r="AU4" s="160">
        <f>CQ54</f>
        <v>0.61692829997703169</v>
      </c>
      <c r="AV4" s="161" t="str">
        <f t="shared" si="1"/>
        <v/>
      </c>
      <c r="AW4" s="32"/>
    </row>
    <row r="5" spans="1:49" ht="18.75" customHeight="1" x14ac:dyDescent="0.25">
      <c r="A5" s="32"/>
      <c r="AE5" s="32"/>
      <c r="AN5" s="32"/>
      <c r="AO5" s="43" t="s">
        <v>46</v>
      </c>
      <c r="AP5" s="44" t="s">
        <v>64</v>
      </c>
      <c r="AQ5" s="44"/>
      <c r="AR5" s="38"/>
      <c r="AS5" s="171">
        <f>SUM(AU5:AU7)/3</f>
        <v>0.36757089857863418</v>
      </c>
      <c r="AT5" s="158">
        <f t="shared" si="0"/>
        <v>0.65103876766383018</v>
      </c>
      <c r="AU5" s="158">
        <f>CQ53</f>
        <v>0.65103876766383018</v>
      </c>
      <c r="AV5" s="159" t="str">
        <f t="shared" si="1"/>
        <v>STRONG</v>
      </c>
      <c r="AW5" s="32"/>
    </row>
    <row r="6" spans="1:49" ht="18.75" customHeight="1" x14ac:dyDescent="0.25">
      <c r="A6" s="32"/>
      <c r="AE6" s="32"/>
      <c r="AN6" s="32"/>
      <c r="AO6" s="47" t="s">
        <v>47</v>
      </c>
      <c r="AP6" s="48" t="s">
        <v>84</v>
      </c>
      <c r="AQ6" s="48"/>
      <c r="AR6" s="40"/>
      <c r="AS6" s="173"/>
      <c r="AT6" s="162">
        <f t="shared" si="0"/>
        <v>0.1661745638257123</v>
      </c>
      <c r="AU6" s="162">
        <f>CQ58</f>
        <v>0.1661745638257123</v>
      </c>
      <c r="AV6" s="163" t="str">
        <f t="shared" si="1"/>
        <v>WEAK</v>
      </c>
      <c r="AW6" s="32"/>
    </row>
    <row r="7" spans="1:49" ht="18.75" customHeight="1" x14ac:dyDescent="0.25">
      <c r="A7" s="32"/>
      <c r="AE7" s="32"/>
      <c r="AN7" s="32"/>
      <c r="AO7" s="45" t="s">
        <v>53</v>
      </c>
      <c r="AP7" s="46" t="s">
        <v>319</v>
      </c>
      <c r="AQ7" s="46"/>
      <c r="AR7" s="39"/>
      <c r="AS7" s="172"/>
      <c r="AT7" s="160">
        <f>CX51</f>
        <v>0.28549936424636019</v>
      </c>
      <c r="AU7" s="160">
        <f>CQ57</f>
        <v>0.28549936424636019</v>
      </c>
      <c r="AV7" s="161" t="str">
        <f t="shared" si="1"/>
        <v>WEAK</v>
      </c>
      <c r="AW7" s="32"/>
    </row>
    <row r="8" spans="1:49" ht="18.75" customHeight="1" x14ac:dyDescent="0.25">
      <c r="A8" s="32"/>
      <c r="AE8" s="32"/>
      <c r="AN8" s="32"/>
      <c r="AO8" s="49" t="s">
        <v>49</v>
      </c>
      <c r="AP8" s="50" t="s">
        <v>88</v>
      </c>
      <c r="AQ8" s="50"/>
      <c r="AR8" s="41"/>
      <c r="AS8" s="166"/>
      <c r="AT8" s="164">
        <f t="shared" si="0"/>
        <v>0.47499279830418295</v>
      </c>
      <c r="AU8" s="164">
        <f>CQ59</f>
        <v>0.47499279830418295</v>
      </c>
      <c r="AV8" s="165" t="str">
        <f t="shared" si="1"/>
        <v/>
      </c>
      <c r="AW8" s="32"/>
    </row>
    <row r="9" spans="1:49" ht="18.75" customHeight="1" x14ac:dyDescent="0.25">
      <c r="A9" s="32"/>
      <c r="B9" s="28" t="str">
        <f>CG49</f>
        <v>XAUUSD</v>
      </c>
      <c r="C9" s="157" t="str">
        <f>D43</f>
        <v>AUDCAD</v>
      </c>
      <c r="D9" s="157" t="str">
        <f>D44</f>
        <v>AUDCHF</v>
      </c>
      <c r="E9" s="157" t="str">
        <f>D45</f>
        <v>AUDJPY</v>
      </c>
      <c r="F9" s="157" t="str">
        <f>D46</f>
        <v>AUDNZD</v>
      </c>
      <c r="G9" s="157" t="str">
        <f>D47</f>
        <v>AUDUSD</v>
      </c>
      <c r="H9" s="28" t="str">
        <f>D48</f>
        <v>CADCHF</v>
      </c>
      <c r="I9" s="28" t="str">
        <f>D49</f>
        <v>CADJPY</v>
      </c>
      <c r="J9" s="28" t="str">
        <f>D50</f>
        <v>CHFJPY</v>
      </c>
      <c r="K9" s="153" t="str">
        <f>D51</f>
        <v>EURAUD</v>
      </c>
      <c r="L9" s="153" t="str">
        <f>D52</f>
        <v>EURCAD</v>
      </c>
      <c r="M9" s="153" t="str">
        <f>D53</f>
        <v>EURCHF</v>
      </c>
      <c r="N9" s="153" t="str">
        <f>D54</f>
        <v>EURGBP</v>
      </c>
      <c r="O9" s="153" t="str">
        <f>D55</f>
        <v>EURJPY</v>
      </c>
      <c r="P9" s="153" t="str">
        <f>D56</f>
        <v>EURNZD</v>
      </c>
      <c r="Q9" s="153" t="str">
        <f>D57</f>
        <v>EURUSD</v>
      </c>
      <c r="R9" s="155" t="str">
        <f>D58</f>
        <v>GBPAUD</v>
      </c>
      <c r="S9" s="155" t="str">
        <f>D59</f>
        <v>GBPCAD</v>
      </c>
      <c r="T9" s="155" t="str">
        <f>D60</f>
        <v>GBPCHF</v>
      </c>
      <c r="U9" s="155" t="str">
        <f>D61</f>
        <v>GBPJPY</v>
      </c>
      <c r="V9" s="155" t="str">
        <f>D62</f>
        <v>GBPNZD</v>
      </c>
      <c r="W9" s="155" t="str">
        <f>D63</f>
        <v>GBPUSD</v>
      </c>
      <c r="X9" s="156" t="str">
        <f>D64</f>
        <v>NZDCAD</v>
      </c>
      <c r="Y9" s="156" t="str">
        <f>D65</f>
        <v>NZDCHF</v>
      </c>
      <c r="Z9" s="156" t="str">
        <f>D66</f>
        <v>NZDJPY</v>
      </c>
      <c r="AA9" s="156" t="str">
        <f>D67</f>
        <v>NZDUSD</v>
      </c>
      <c r="AB9" s="154" t="str">
        <f>D68</f>
        <v>USDCAD</v>
      </c>
      <c r="AC9" s="154" t="str">
        <f>D69</f>
        <v>USDCHF</v>
      </c>
      <c r="AD9" s="154" t="str">
        <f>D70</f>
        <v>USDJPY</v>
      </c>
      <c r="AE9" s="32"/>
      <c r="AF9" s="28" t="str">
        <f>DE97</f>
        <v>CAD</v>
      </c>
      <c r="AG9" s="29" t="str">
        <f>DE98</f>
        <v>AUD</v>
      </c>
      <c r="AH9" s="29" t="str">
        <f>DE99</f>
        <v>GBP</v>
      </c>
      <c r="AI9" s="29" t="str">
        <f>DE100</f>
        <v>USD</v>
      </c>
      <c r="AJ9" s="29" t="str">
        <f>DE101</f>
        <v>EUR</v>
      </c>
      <c r="AK9" s="29" t="str">
        <f>DE102</f>
        <v>CHF</v>
      </c>
      <c r="AL9" s="29" t="str">
        <f>DE103</f>
        <v>JPY</v>
      </c>
      <c r="AM9" s="30" t="str">
        <f>DE104</f>
        <v>NZD</v>
      </c>
      <c r="AN9" s="32"/>
      <c r="AO9" s="43" t="s">
        <v>51</v>
      </c>
      <c r="AP9" s="44" t="s">
        <v>318</v>
      </c>
      <c r="AQ9" s="44"/>
      <c r="AR9" s="38"/>
      <c r="AS9" s="171">
        <f>SUM(AU9:AU10)/2</f>
        <v>0.69736463177171704</v>
      </c>
      <c r="AT9" s="158">
        <f t="shared" si="0"/>
        <v>0.61593540038287209</v>
      </c>
      <c r="AU9" s="158">
        <f>CQ60</f>
        <v>0.61593540038287209</v>
      </c>
      <c r="AV9" s="159" t="str">
        <f t="shared" si="1"/>
        <v/>
      </c>
      <c r="AW9" s="32"/>
    </row>
    <row r="10" spans="1:49" ht="18.75" customHeight="1" x14ac:dyDescent="0.25">
      <c r="A10" s="32"/>
      <c r="B10" s="31">
        <f>AF31</f>
        <v>0.31765463917524756</v>
      </c>
      <c r="C10" s="31">
        <f>F43</f>
        <v>0.20698689956332572</v>
      </c>
      <c r="D10" s="31">
        <f>F44</f>
        <v>0.75503355704698016</v>
      </c>
      <c r="E10" s="31">
        <f>F45</f>
        <v>0.80087527352297805</v>
      </c>
      <c r="F10" s="31">
        <f>F46</f>
        <v>0.83580320094843208</v>
      </c>
      <c r="G10" s="31">
        <f>F47</f>
        <v>0.59814528593507621</v>
      </c>
      <c r="H10" s="31">
        <f>F48</f>
        <v>0.69127516778523312</v>
      </c>
      <c r="I10" s="31">
        <f>F49</f>
        <v>0.81111741349971633</v>
      </c>
      <c r="J10" s="31">
        <f>F50</f>
        <v>0.66666666666666985</v>
      </c>
      <c r="K10" s="31">
        <f>F51</f>
        <v>0.17618170656844342</v>
      </c>
      <c r="L10" s="31">
        <f>F52</f>
        <v>0.25290806754221212</v>
      </c>
      <c r="M10" s="31">
        <f>F53</f>
        <v>0.42151675485010359</v>
      </c>
      <c r="N10" s="31">
        <f>F54</f>
        <v>0.1558139534883741</v>
      </c>
      <c r="O10" s="31">
        <f>F55</f>
        <v>0.78655199374511575</v>
      </c>
      <c r="P10" s="31">
        <f>F56</f>
        <v>0.75483616265297948</v>
      </c>
      <c r="Q10" s="31">
        <f>F57</f>
        <v>0.3266499582289113</v>
      </c>
      <c r="R10" s="31">
        <f>F58</f>
        <v>0.46339113680153715</v>
      </c>
      <c r="S10" s="31">
        <f>F59</f>
        <v>0.31305903398926621</v>
      </c>
      <c r="T10" s="31">
        <f>F60</f>
        <v>0.66312997347480251</v>
      </c>
      <c r="U10" s="31">
        <f>F61</f>
        <v>0.7866407263294467</v>
      </c>
      <c r="V10" s="31">
        <f>F62</f>
        <v>0.85343709468222995</v>
      </c>
      <c r="W10" s="31">
        <f>F63</f>
        <v>0.39465408805031443</v>
      </c>
      <c r="X10" s="31">
        <f>F64</f>
        <v>5.8144695960942315E-2</v>
      </c>
      <c r="Y10" s="31">
        <f>F65</f>
        <v>0.14583333333333082</v>
      </c>
      <c r="Z10" s="31">
        <f>F66</f>
        <v>0.32871720116617598</v>
      </c>
      <c r="AA10" s="31">
        <f>F67</f>
        <v>7.460317460317839E-2</v>
      </c>
      <c r="AB10" s="31">
        <f>F68</f>
        <v>0.21973684210526961</v>
      </c>
      <c r="AC10" s="31">
        <f>F69</f>
        <v>0.66492829204693926</v>
      </c>
      <c r="AD10" s="31">
        <f>F70</f>
        <v>0.82093517534537597</v>
      </c>
      <c r="AE10" s="32"/>
      <c r="AF10" s="35">
        <f>DC97</f>
        <v>6.6428571428571432</v>
      </c>
      <c r="AG10" s="36">
        <f>DC98</f>
        <v>5.7857142857142856</v>
      </c>
      <c r="AH10" s="36">
        <f>DC99</f>
        <v>5.5</v>
      </c>
      <c r="AI10" s="36">
        <f>DC100</f>
        <v>5.3571428571428568</v>
      </c>
      <c r="AJ10" s="36">
        <f>DC101</f>
        <v>4.1428571428571432</v>
      </c>
      <c r="AK10" s="36">
        <f>DC102</f>
        <v>4.0714285714285712</v>
      </c>
      <c r="AL10" s="36">
        <f>DC103</f>
        <v>2.6428571428571428</v>
      </c>
      <c r="AM10" s="37">
        <f>DC104</f>
        <v>1.8571428571428572</v>
      </c>
      <c r="AN10" s="32"/>
      <c r="AO10" s="45" t="s">
        <v>48</v>
      </c>
      <c r="AP10" s="46" t="s">
        <v>72</v>
      </c>
      <c r="AQ10" s="46"/>
      <c r="AR10" s="39"/>
      <c r="AS10" s="174"/>
      <c r="AT10" s="160">
        <f>CX48</f>
        <v>0.77879386316056198</v>
      </c>
      <c r="AU10" s="160">
        <f>CQ55</f>
        <v>0.77879386316056198</v>
      </c>
      <c r="AV10" s="161" t="str">
        <f t="shared" si="1"/>
        <v>STRONG</v>
      </c>
      <c r="AW10" s="32"/>
    </row>
    <row r="11" spans="1:49" ht="18.75" customHeight="1" x14ac:dyDescent="0.25">
      <c r="A11" s="32"/>
      <c r="B11" s="32"/>
      <c r="C11" s="125" t="str">
        <f>E43</f>
        <v>WAIT</v>
      </c>
      <c r="D11" s="125" t="str">
        <f>E44</f>
        <v>WAIT</v>
      </c>
      <c r="E11" s="125" t="str">
        <f>E45</f>
        <v>WAIT</v>
      </c>
      <c r="F11" s="125" t="str">
        <f>E46</f>
        <v>BUY</v>
      </c>
      <c r="G11" s="125" t="str">
        <f>E47</f>
        <v>WAIT</v>
      </c>
      <c r="H11" s="125" t="str">
        <f>E48</f>
        <v>WAIT</v>
      </c>
      <c r="I11" s="125" t="str">
        <f>E49</f>
        <v>BUY</v>
      </c>
      <c r="J11" s="125" t="str">
        <f>E50</f>
        <v>WAIT</v>
      </c>
      <c r="K11" s="125" t="str">
        <f>E51</f>
        <v>WAIT</v>
      </c>
      <c r="L11" s="125" t="str">
        <f>E52</f>
        <v>WAIT</v>
      </c>
      <c r="M11" s="125" t="str">
        <f>E53</f>
        <v>WAIT</v>
      </c>
      <c r="N11" s="125" t="str">
        <f>E54</f>
        <v>WAIT</v>
      </c>
      <c r="O11" s="125" t="str">
        <f>E55</f>
        <v>WAIT</v>
      </c>
      <c r="P11" s="125" t="str">
        <f>E56</f>
        <v>WAIT</v>
      </c>
      <c r="Q11" s="125" t="str">
        <f>E57</f>
        <v>WAIT</v>
      </c>
      <c r="R11" s="125" t="str">
        <f>E58</f>
        <v>WAIT</v>
      </c>
      <c r="S11" s="125" t="str">
        <f>E59</f>
        <v>WAIT</v>
      </c>
      <c r="T11" s="125" t="str">
        <f>E60</f>
        <v>WAIT</v>
      </c>
      <c r="U11" s="125" t="str">
        <f>E61</f>
        <v>WAIT</v>
      </c>
      <c r="V11" s="125" t="str">
        <f>E62</f>
        <v>BUY</v>
      </c>
      <c r="W11" s="125" t="str">
        <f>E63</f>
        <v>WAIT</v>
      </c>
      <c r="X11" s="125" t="str">
        <f>E64</f>
        <v>SELL</v>
      </c>
      <c r="Y11" s="125" t="str">
        <f>E65</f>
        <v>WAIT</v>
      </c>
      <c r="Z11" s="125" t="str">
        <f>E66</f>
        <v>WAIT</v>
      </c>
      <c r="AA11" s="125" t="str">
        <f>E67</f>
        <v>SELL</v>
      </c>
      <c r="AB11" s="125" t="str">
        <f>E68</f>
        <v>WAIT</v>
      </c>
      <c r="AC11" s="125" t="str">
        <f>E69</f>
        <v>WAIT</v>
      </c>
      <c r="AD11" s="125" t="str">
        <f>E70</f>
        <v>WAIT</v>
      </c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</row>
    <row r="12" spans="1:49" ht="18.75" customHeight="1" x14ac:dyDescent="0.25">
      <c r="A12" s="42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</row>
    <row r="13" spans="1:49" ht="18.75" customHeight="1" x14ac:dyDescent="0.25">
      <c r="A13" s="42"/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</row>
    <row r="19" spans="2:122" ht="18" customHeight="1" x14ac:dyDescent="0.25">
      <c r="CE19" s="1"/>
      <c r="CF19" s="1" t="s">
        <v>35</v>
      </c>
      <c r="CG19" s="1" t="s">
        <v>34</v>
      </c>
      <c r="CH19" s="1"/>
      <c r="CI19" s="1" t="s">
        <v>0</v>
      </c>
      <c r="CJ19" s="1" t="s">
        <v>1</v>
      </c>
      <c r="CK19" s="1" t="s">
        <v>2</v>
      </c>
      <c r="CL19" s="1" t="s">
        <v>3</v>
      </c>
      <c r="CM19" s="1" t="s">
        <v>4</v>
      </c>
      <c r="CN19" s="1" t="s">
        <v>5</v>
      </c>
      <c r="CO19" s="1"/>
      <c r="CP19" s="1" t="s">
        <v>39</v>
      </c>
      <c r="CQ19" s="1" t="s">
        <v>40</v>
      </c>
      <c r="CR19" s="1"/>
      <c r="CS19" s="1"/>
      <c r="CT19" s="1" t="s">
        <v>41</v>
      </c>
      <c r="CU19" s="1" t="s">
        <v>42</v>
      </c>
      <c r="CV19" s="1"/>
      <c r="CW19" s="1"/>
      <c r="CX19" s="1"/>
      <c r="CY19" s="1"/>
      <c r="CZ19" s="9" t="s">
        <v>54</v>
      </c>
      <c r="DA19" s="10" t="s">
        <v>55</v>
      </c>
      <c r="DB19" s="10" t="s">
        <v>56</v>
      </c>
      <c r="DC19" s="11"/>
      <c r="DD19" s="1" t="s">
        <v>54</v>
      </c>
      <c r="DE19" s="1" t="s">
        <v>55</v>
      </c>
      <c r="DF19" s="1" t="s">
        <v>56</v>
      </c>
      <c r="DG19" s="1" t="s">
        <v>57</v>
      </c>
      <c r="DH19" s="1" t="s">
        <v>58</v>
      </c>
      <c r="DI19" s="1" t="s">
        <v>59</v>
      </c>
      <c r="DJ19" s="1"/>
      <c r="DK19" s="5" t="s">
        <v>44</v>
      </c>
      <c r="DL19" s="1" t="s">
        <v>54</v>
      </c>
      <c r="DM19" s="1" t="s">
        <v>55</v>
      </c>
      <c r="DN19" s="1" t="s">
        <v>56</v>
      </c>
      <c r="DO19" s="1" t="s">
        <v>57</v>
      </c>
      <c r="DP19" s="1" t="s">
        <v>58</v>
      </c>
      <c r="DQ19" s="1" t="s">
        <v>59</v>
      </c>
      <c r="DR19" s="1"/>
    </row>
    <row r="20" spans="2:122" x14ac:dyDescent="0.25"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9"/>
      <c r="DA20" s="10"/>
      <c r="DB20" s="10"/>
      <c r="DC20" s="11"/>
      <c r="DD20" s="1"/>
      <c r="DE20" s="1"/>
      <c r="DF20" s="1"/>
      <c r="DG20" s="1"/>
      <c r="DH20" s="1"/>
      <c r="DI20" s="1"/>
      <c r="DJ20" s="1"/>
      <c r="DK20" s="1" t="s">
        <v>6</v>
      </c>
      <c r="DL20" s="1" t="e">
        <f t="shared" ref="DL20:DQ26" si="2">DD21</f>
        <v>#REF!</v>
      </c>
      <c r="DM20" s="1" t="e">
        <f t="shared" si="2"/>
        <v>#REF!</v>
      </c>
      <c r="DN20" s="8" t="e">
        <f t="shared" si="2"/>
        <v>#REF!</v>
      </c>
      <c r="DO20" s="8">
        <f t="shared" si="2"/>
        <v>85.999999999999403</v>
      </c>
      <c r="DP20" s="8" t="e">
        <f t="shared" si="2"/>
        <v>#REF!</v>
      </c>
      <c r="DQ20" s="8" t="e">
        <f t="shared" si="2"/>
        <v>#REF!</v>
      </c>
      <c r="DR20" s="1"/>
    </row>
    <row r="21" spans="2:122" ht="15" customHeight="1" x14ac:dyDescent="0.25">
      <c r="B21" s="51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3">
        <f>CORREL(Q25:Q27,R25:R27)</f>
        <v>0.99002833794777534</v>
      </c>
      <c r="R21" s="54">
        <f>CORREL(Q24:Q26, R24:R26)</f>
        <v>0.97578693158711627</v>
      </c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CE21" s="1"/>
      <c r="CF21" s="2">
        <f>[1]!EURGBP</f>
        <v>42412.999305555553</v>
      </c>
      <c r="CG21" s="1" t="s">
        <v>6</v>
      </c>
      <c r="CH21" s="1"/>
      <c r="CI21" s="3">
        <f>[2]!EURGBP</f>
        <v>0.78271999999999997</v>
      </c>
      <c r="CJ21" s="3">
        <f>[3]!EURGBP</f>
        <v>0.77412000000000003</v>
      </c>
      <c r="CK21" s="3">
        <f>[4]!EURGBP</f>
        <v>0.77546000000000004</v>
      </c>
      <c r="CL21" s="3">
        <f>[5]!EURGBP</f>
        <v>0.77664999999999995</v>
      </c>
      <c r="CM21" s="4">
        <f t="shared" ref="CM21:CN48" si="3">(CK21-CJ21)/(CI21-CJ21)</f>
        <v>0.15581395348837407</v>
      </c>
      <c r="CN21" s="4">
        <f>(CI21-CL21)/(CI21-CJ21)</f>
        <v>0.70581395348837928</v>
      </c>
      <c r="CO21" s="1">
        <v>10000</v>
      </c>
      <c r="CP21" s="6">
        <f>1-CM21</f>
        <v>0.84418604651162599</v>
      </c>
      <c r="CQ21" s="1">
        <f>(CL21-CK21)*CO21</f>
        <v>11.899999999999133</v>
      </c>
      <c r="CR21" s="4" t="s">
        <v>37</v>
      </c>
      <c r="CS21" s="6">
        <f>IF(CR21="BUYER",CM21,IF(CR21="SELLER",CN21,""))</f>
        <v>0.15581395348837407</v>
      </c>
      <c r="CT21" s="7">
        <f>LOOKUP(100*CM21,CV21:CV42,CW21:CW42)</f>
        <v>2</v>
      </c>
      <c r="CU21" s="7">
        <f>9-CT21</f>
        <v>7</v>
      </c>
      <c r="CV21" s="1">
        <v>-250</v>
      </c>
      <c r="CW21" s="1">
        <v>0</v>
      </c>
      <c r="CX21" s="1"/>
      <c r="CY21" s="1"/>
      <c r="CZ21" s="9" t="e">
        <f>[6]Input!T23</f>
        <v>#REF!</v>
      </c>
      <c r="DA21" s="10" t="e">
        <f>[6]Input!U23</f>
        <v>#REF!</v>
      </c>
      <c r="DB21" s="10" t="e">
        <f>[6]Input!V23</f>
        <v>#REF!</v>
      </c>
      <c r="DC21" s="11"/>
      <c r="DD21" s="1" t="e">
        <f>SUM(CK21-CZ21)*CO21</f>
        <v>#REF!</v>
      </c>
      <c r="DE21" s="1" t="e">
        <f>SUM(CK21-DA21)*CO21</f>
        <v>#REF!</v>
      </c>
      <c r="DF21" s="1" t="e">
        <f>SUM(CK21-DB21)*CO21</f>
        <v>#REF!</v>
      </c>
      <c r="DG21" s="1">
        <f t="shared" ref="DG21:DG48" si="4">(CI21-CJ21)*CO21</f>
        <v>85.999999999999403</v>
      </c>
      <c r="DH21" s="1" t="e">
        <f t="shared" ref="DH21:DH48" si="5">SUM(CI21-DB21)*CO21</f>
        <v>#REF!</v>
      </c>
      <c r="DI21" s="1" t="e">
        <f t="shared" ref="DI21:DI48" si="6">SUM(DB21-CJ21)*CO21</f>
        <v>#REF!</v>
      </c>
      <c r="DJ21" s="1"/>
      <c r="DK21" s="1" t="s">
        <v>7</v>
      </c>
      <c r="DL21" s="1" t="e">
        <f t="shared" si="2"/>
        <v>#REF!</v>
      </c>
      <c r="DM21" s="1" t="e">
        <f t="shared" si="2"/>
        <v>#REF!</v>
      </c>
      <c r="DN21" s="8" t="e">
        <f t="shared" si="2"/>
        <v>#REF!</v>
      </c>
      <c r="DO21" s="8">
        <f t="shared" si="2"/>
        <v>162.89999999999915</v>
      </c>
      <c r="DP21" s="8" t="e">
        <f t="shared" si="2"/>
        <v>#REF!</v>
      </c>
      <c r="DQ21" s="8" t="e">
        <f t="shared" si="2"/>
        <v>#REF!</v>
      </c>
      <c r="DR21" s="1"/>
    </row>
    <row r="22" spans="2:122" ht="15" customHeight="1" thickBot="1" x14ac:dyDescent="0.3">
      <c r="B22" s="51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5"/>
      <c r="AF22" s="52"/>
      <c r="AG22" s="52"/>
      <c r="AH22" s="52"/>
      <c r="CE22" s="1"/>
      <c r="CF22" s="2">
        <f>[1]!EURAUD</f>
        <v>42412.999305555553</v>
      </c>
      <c r="CG22" s="1" t="s">
        <v>7</v>
      </c>
      <c r="CH22" s="1"/>
      <c r="CI22" s="3">
        <f>[2]!EURAUD</f>
        <v>1.59632</v>
      </c>
      <c r="CJ22" s="3">
        <f>[3]!EURAUD</f>
        <v>1.58003</v>
      </c>
      <c r="CK22" s="3">
        <f>[4]!EURAUD</f>
        <v>1.5829</v>
      </c>
      <c r="CL22" s="3">
        <f>[5]!EURAUD</f>
        <v>1.5853699999999999</v>
      </c>
      <c r="CM22" s="4">
        <f t="shared" si="3"/>
        <v>0.1761817065684434</v>
      </c>
      <c r="CN22" s="4">
        <f t="shared" si="3"/>
        <v>-0.86062717770036035</v>
      </c>
      <c r="CO22" s="1">
        <v>10000</v>
      </c>
      <c r="CP22" s="6">
        <f t="shared" ref="CP22:CP48" si="7">1-CM22</f>
        <v>0.82381829343155655</v>
      </c>
      <c r="CQ22" s="1">
        <f t="shared" ref="CQ22:CQ48" si="8">(CL22-CK22)*CO22</f>
        <v>24.699999999999722</v>
      </c>
      <c r="CR22" s="4" t="s">
        <v>37</v>
      </c>
      <c r="CS22" s="6">
        <f t="shared" ref="CS22:CS48" si="9">IF(CR22="BUYER",CM22,IF(CR22="SELLER",CN22,""))</f>
        <v>0.1761817065684434</v>
      </c>
      <c r="CT22" s="7">
        <f>LOOKUP(100*CM22,CV21:CV42,CW21:CW42)</f>
        <v>2.5</v>
      </c>
      <c r="CU22" s="7">
        <f t="shared" ref="CU22:CU48" si="10">9-CT22</f>
        <v>6.5</v>
      </c>
      <c r="CV22" s="1">
        <v>0</v>
      </c>
      <c r="CW22" s="1">
        <v>0</v>
      </c>
      <c r="CX22" s="1"/>
      <c r="CY22" s="1"/>
      <c r="CZ22" s="9" t="e">
        <f>[6]Input!T24</f>
        <v>#REF!</v>
      </c>
      <c r="DA22" s="10" t="e">
        <f>[6]Input!U24</f>
        <v>#REF!</v>
      </c>
      <c r="DB22" s="10" t="e">
        <f>[6]Input!V24</f>
        <v>#REF!</v>
      </c>
      <c r="DC22" s="11"/>
      <c r="DD22" s="1" t="e">
        <f t="shared" ref="DD22:DD48" si="11">SUM(CK22-CZ22)*CO22</f>
        <v>#REF!</v>
      </c>
      <c r="DE22" s="1" t="e">
        <f t="shared" ref="DE22:DE48" si="12">SUM(CK22-DA22)*CO22</f>
        <v>#REF!</v>
      </c>
      <c r="DF22" s="1" t="e">
        <f t="shared" ref="DF22:DF48" si="13">SUM(CK22-DB22)*CO22</f>
        <v>#REF!</v>
      </c>
      <c r="DG22" s="1">
        <f t="shared" si="4"/>
        <v>162.89999999999915</v>
      </c>
      <c r="DH22" s="1" t="e">
        <f t="shared" si="5"/>
        <v>#REF!</v>
      </c>
      <c r="DI22" s="1" t="e">
        <f t="shared" si="6"/>
        <v>#REF!</v>
      </c>
      <c r="DJ22" s="1"/>
      <c r="DK22" s="1" t="s">
        <v>8</v>
      </c>
      <c r="DL22" s="1" t="e">
        <f t="shared" si="2"/>
        <v>#REF!</v>
      </c>
      <c r="DM22" s="1" t="e">
        <f t="shared" si="2"/>
        <v>#REF!</v>
      </c>
      <c r="DN22" s="8" t="e">
        <f t="shared" si="2"/>
        <v>#REF!</v>
      </c>
      <c r="DO22" s="8">
        <f t="shared" si="2"/>
        <v>253.30000000000075</v>
      </c>
      <c r="DP22" s="8" t="e">
        <f t="shared" si="2"/>
        <v>#REF!</v>
      </c>
      <c r="DQ22" s="8" t="e">
        <f t="shared" si="2"/>
        <v>#REF!</v>
      </c>
      <c r="DR22" s="1"/>
    </row>
    <row r="23" spans="2:122" ht="15" customHeight="1" thickBot="1" x14ac:dyDescent="0.3">
      <c r="B23" s="56" t="s">
        <v>320</v>
      </c>
      <c r="C23" s="57" t="s">
        <v>20</v>
      </c>
      <c r="D23" s="58" t="s">
        <v>21</v>
      </c>
      <c r="E23" s="58" t="s">
        <v>23</v>
      </c>
      <c r="F23" s="58" t="s">
        <v>19</v>
      </c>
      <c r="G23" s="58" t="s">
        <v>22</v>
      </c>
      <c r="H23" s="58" t="s">
        <v>28</v>
      </c>
      <c r="I23" s="58" t="s">
        <v>29</v>
      </c>
      <c r="J23" s="58" t="s">
        <v>30</v>
      </c>
      <c r="K23" s="58" t="s">
        <v>7</v>
      </c>
      <c r="L23" s="58" t="s">
        <v>9</v>
      </c>
      <c r="M23" s="58" t="s">
        <v>10</v>
      </c>
      <c r="N23" s="58" t="s">
        <v>6</v>
      </c>
      <c r="O23" s="58" t="s">
        <v>12</v>
      </c>
      <c r="P23" s="58" t="s">
        <v>8</v>
      </c>
      <c r="Q23" s="58" t="s">
        <v>11</v>
      </c>
      <c r="R23" s="58" t="s">
        <v>13</v>
      </c>
      <c r="S23" s="58" t="s">
        <v>15</v>
      </c>
      <c r="T23" s="58" t="s">
        <v>16</v>
      </c>
      <c r="U23" s="58" t="s">
        <v>18</v>
      </c>
      <c r="V23" s="58" t="s">
        <v>14</v>
      </c>
      <c r="W23" s="58" t="s">
        <v>17</v>
      </c>
      <c r="X23" s="58" t="s">
        <v>24</v>
      </c>
      <c r="Y23" s="58" t="s">
        <v>25</v>
      </c>
      <c r="Z23" s="58" t="s">
        <v>27</v>
      </c>
      <c r="AA23" s="58" t="s">
        <v>26</v>
      </c>
      <c r="AB23" s="58" t="s">
        <v>31</v>
      </c>
      <c r="AC23" s="58" t="s">
        <v>32</v>
      </c>
      <c r="AD23" s="59" t="s">
        <v>33</v>
      </c>
      <c r="AE23" s="60"/>
      <c r="AF23" s="147" t="str">
        <f>B9</f>
        <v>XAUUSD</v>
      </c>
      <c r="AG23" s="66">
        <v>0</v>
      </c>
      <c r="AH23" s="66">
        <v>0</v>
      </c>
      <c r="CE23" s="1"/>
      <c r="CF23" s="2">
        <f>[1]!EURNZD</f>
        <v>42412.999305555553</v>
      </c>
      <c r="CG23" s="1" t="s">
        <v>8</v>
      </c>
      <c r="CH23" s="1"/>
      <c r="CI23" s="3">
        <f>[2]!EURNZD</f>
        <v>1.7040200000000001</v>
      </c>
      <c r="CJ23" s="3">
        <f>[3]!EURNZD</f>
        <v>1.67869</v>
      </c>
      <c r="CK23" s="3">
        <f>[4]!EURNZD</f>
        <v>1.69781</v>
      </c>
      <c r="CL23" s="3">
        <f>[5]!EURNZD</f>
        <v>1.69889</v>
      </c>
      <c r="CM23" s="4">
        <f t="shared" si="3"/>
        <v>0.75483616265297948</v>
      </c>
      <c r="CN23" s="4">
        <f t="shared" ref="CN23:CN48" si="14">(CI23-CL23)/(CI23-CJ23)</f>
        <v>0.20252664824319241</v>
      </c>
      <c r="CO23" s="1">
        <v>10000</v>
      </c>
      <c r="CP23" s="6">
        <f t="shared" si="7"/>
        <v>0.24516383734702052</v>
      </c>
      <c r="CQ23" s="1">
        <f t="shared" si="8"/>
        <v>10.799999999999699</v>
      </c>
      <c r="CR23" s="4" t="s">
        <v>37</v>
      </c>
      <c r="CS23" s="6">
        <f t="shared" si="9"/>
        <v>0.75483616265297948</v>
      </c>
      <c r="CT23" s="7">
        <f>LOOKUP(100*CM23,CV21:CV42,CW21:CW42)</f>
        <v>7</v>
      </c>
      <c r="CU23" s="7">
        <f t="shared" si="10"/>
        <v>2</v>
      </c>
      <c r="CV23" s="1">
        <v>1.5</v>
      </c>
      <c r="CW23" s="1">
        <v>0.5</v>
      </c>
      <c r="CX23" s="1"/>
      <c r="CY23" s="1"/>
      <c r="CZ23" s="9" t="e">
        <f>[6]Input!T25</f>
        <v>#REF!</v>
      </c>
      <c r="DA23" s="10" t="e">
        <f>[6]Input!U25</f>
        <v>#REF!</v>
      </c>
      <c r="DB23" s="10" t="e">
        <f>[6]Input!V25</f>
        <v>#REF!</v>
      </c>
      <c r="DC23" s="11"/>
      <c r="DD23" s="1" t="e">
        <f t="shared" si="11"/>
        <v>#REF!</v>
      </c>
      <c r="DE23" s="1" t="e">
        <f t="shared" si="12"/>
        <v>#REF!</v>
      </c>
      <c r="DF23" s="1" t="e">
        <f t="shared" si="13"/>
        <v>#REF!</v>
      </c>
      <c r="DG23" s="1">
        <f t="shared" si="4"/>
        <v>253.30000000000075</v>
      </c>
      <c r="DH23" s="1" t="e">
        <f t="shared" si="5"/>
        <v>#REF!</v>
      </c>
      <c r="DI23" s="1" t="e">
        <f t="shared" si="6"/>
        <v>#REF!</v>
      </c>
      <c r="DJ23" s="1"/>
      <c r="DK23" s="1" t="s">
        <v>9</v>
      </c>
      <c r="DL23" s="1" t="e">
        <f t="shared" si="2"/>
        <v>#REF!</v>
      </c>
      <c r="DM23" s="1" t="e">
        <f t="shared" si="2"/>
        <v>#REF!</v>
      </c>
      <c r="DN23" s="8" t="e">
        <f t="shared" si="2"/>
        <v>#REF!</v>
      </c>
      <c r="DO23" s="8">
        <f t="shared" si="2"/>
        <v>266.50000000000063</v>
      </c>
      <c r="DP23" s="8" t="e">
        <f t="shared" si="2"/>
        <v>#REF!</v>
      </c>
      <c r="DQ23" s="8" t="e">
        <f t="shared" si="2"/>
        <v>#REF!</v>
      </c>
      <c r="DR23" s="1"/>
    </row>
    <row r="24" spans="2:122" ht="15" customHeight="1" x14ac:dyDescent="0.25">
      <c r="B24" s="61" t="s">
        <v>0</v>
      </c>
      <c r="C24" s="62">
        <f>[2]!AUDCAD</f>
        <v>0.99231000000000003</v>
      </c>
      <c r="D24" s="62">
        <f>[2]!AUDCHF</f>
        <v>0.69469000000000003</v>
      </c>
      <c r="E24" s="63">
        <f>[2]!AUDJPY</f>
        <v>80.64</v>
      </c>
      <c r="F24" s="62">
        <f>[2]!AUDNZD</f>
        <v>1.0738099999999999</v>
      </c>
      <c r="G24" s="62">
        <f>[2]!AUDUSD</f>
        <v>0.71274999999999999</v>
      </c>
      <c r="H24" s="62">
        <f>[2]!CADCHF</f>
        <v>0.70765999999999996</v>
      </c>
      <c r="I24" s="63">
        <f>[2]!CADJPY</f>
        <v>82.037999999999997</v>
      </c>
      <c r="J24" s="63">
        <f>[2]!CHFJPY</f>
        <v>116.244</v>
      </c>
      <c r="K24" s="62">
        <f>[2]!EURAUD</f>
        <v>1.59632</v>
      </c>
      <c r="L24" s="62">
        <f>[2]!EURCAD</f>
        <v>1.5780000000000001</v>
      </c>
      <c r="M24" s="62">
        <f>[2]!EURCHF</f>
        <v>1.10209</v>
      </c>
      <c r="N24" s="62">
        <f>[2]!EURGBP</f>
        <v>0.78271999999999997</v>
      </c>
      <c r="O24" s="63">
        <f>[2]!EURJPY</f>
        <v>127.648</v>
      </c>
      <c r="P24" s="62">
        <f>[2]!EURNZD</f>
        <v>1.7040200000000001</v>
      </c>
      <c r="Q24" s="62">
        <f>[2]!EURUSD</f>
        <v>1.13331</v>
      </c>
      <c r="R24" s="62">
        <f>[2]!GBPAUD</f>
        <v>2.0506600000000001</v>
      </c>
      <c r="S24" s="62">
        <f>[2]!GBPCAD</f>
        <v>2.0264500000000001</v>
      </c>
      <c r="T24" s="62">
        <f>[2]!GBPCHF</f>
        <v>1.42117</v>
      </c>
      <c r="U24" s="63">
        <f>[2]!GBPJPY</f>
        <v>164.762</v>
      </c>
      <c r="V24" s="62">
        <f>[2]!GBPNZD</f>
        <v>2.1941899999999999</v>
      </c>
      <c r="W24" s="62">
        <f>[2]!GBPUSD</f>
        <v>1.45692</v>
      </c>
      <c r="X24" s="62">
        <f>[2]!NZDCAD</f>
        <v>0.93794</v>
      </c>
      <c r="Y24" s="62">
        <f>[2]!NZDCHF</f>
        <v>0.65510000000000002</v>
      </c>
      <c r="Z24" s="63">
        <f>[2]!NZDJPY</f>
        <v>75.878</v>
      </c>
      <c r="AA24" s="62">
        <f>[2]!NZDUSD</f>
        <v>0.67383000000000004</v>
      </c>
      <c r="AB24" s="62">
        <f>[2]!USDCAD</f>
        <v>1.39642</v>
      </c>
      <c r="AC24" s="62">
        <f>[2]!USDCHF</f>
        <v>0.97897999999999996</v>
      </c>
      <c r="AD24" s="64">
        <f>[2]!USDJPY</f>
        <v>113.533</v>
      </c>
      <c r="AE24" s="65"/>
      <c r="AF24" s="148">
        <f>[2]!XAUUSD</f>
        <v>1247.96</v>
      </c>
      <c r="AG24" s="66">
        <v>3</v>
      </c>
      <c r="AH24" s="66">
        <v>1</v>
      </c>
      <c r="CB24" s="33" t="str">
        <f t="shared" ref="CB24:CB31" si="15">DE109</f>
        <v>CAD</v>
      </c>
      <c r="CC24" s="34">
        <f t="shared" ref="CC24:CC31" si="16">DC109</f>
        <v>0.77879386316056198</v>
      </c>
      <c r="CE24" s="1"/>
      <c r="CF24" s="2">
        <f>[1]!EURCAD</f>
        <v>42412.999305555553</v>
      </c>
      <c r="CG24" s="1" t="s">
        <v>9</v>
      </c>
      <c r="CH24" s="1"/>
      <c r="CI24" s="3">
        <f>[2]!EURCAD</f>
        <v>1.5780000000000001</v>
      </c>
      <c r="CJ24" s="3">
        <f>[3]!EURCAD</f>
        <v>1.55135</v>
      </c>
      <c r="CK24" s="3">
        <f>[4]!EURCAD</f>
        <v>1.55809</v>
      </c>
      <c r="CL24" s="3">
        <f>[5]!EURCAD</f>
        <v>1.55955</v>
      </c>
      <c r="CM24" s="4">
        <f t="shared" si="3"/>
        <v>0.25290806754221212</v>
      </c>
      <c r="CN24" s="4">
        <f t="shared" si="14"/>
        <v>0.69230769230769362</v>
      </c>
      <c r="CO24" s="1">
        <v>10000</v>
      </c>
      <c r="CP24" s="6">
        <f t="shared" si="7"/>
        <v>0.74709193245778782</v>
      </c>
      <c r="CQ24" s="1">
        <f t="shared" si="8"/>
        <v>14.600000000000168</v>
      </c>
      <c r="CR24" s="4" t="s">
        <v>37</v>
      </c>
      <c r="CS24" s="6">
        <f t="shared" si="9"/>
        <v>0.25290806754221212</v>
      </c>
      <c r="CT24" s="7">
        <f>LOOKUP(100*CM24,CV21:CV42,CW21:CW42)</f>
        <v>3</v>
      </c>
      <c r="CU24" s="7">
        <f t="shared" si="10"/>
        <v>6</v>
      </c>
      <c r="CV24" s="1">
        <v>3</v>
      </c>
      <c r="CW24" s="1">
        <v>1</v>
      </c>
      <c r="CX24" s="1"/>
      <c r="CY24" s="1"/>
      <c r="CZ24" s="9" t="e">
        <f>[6]Input!T26</f>
        <v>#REF!</v>
      </c>
      <c r="DA24" s="10" t="e">
        <f>[6]Input!U26</f>
        <v>#REF!</v>
      </c>
      <c r="DB24" s="10" t="e">
        <f>[6]Input!V26</f>
        <v>#REF!</v>
      </c>
      <c r="DC24" s="11"/>
      <c r="DD24" s="1" t="e">
        <f t="shared" si="11"/>
        <v>#REF!</v>
      </c>
      <c r="DE24" s="1" t="e">
        <f t="shared" si="12"/>
        <v>#REF!</v>
      </c>
      <c r="DF24" s="1" t="e">
        <f t="shared" si="13"/>
        <v>#REF!</v>
      </c>
      <c r="DG24" s="1">
        <f t="shared" si="4"/>
        <v>266.50000000000063</v>
      </c>
      <c r="DH24" s="1" t="e">
        <f t="shared" si="5"/>
        <v>#REF!</v>
      </c>
      <c r="DI24" s="1" t="e">
        <f t="shared" si="6"/>
        <v>#REF!</v>
      </c>
      <c r="DJ24" s="1"/>
      <c r="DK24" s="1" t="s">
        <v>10</v>
      </c>
      <c r="DL24" s="1" t="e">
        <f t="shared" si="2"/>
        <v>#REF!</v>
      </c>
      <c r="DM24" s="1" t="e">
        <f t="shared" si="2"/>
        <v>#REF!</v>
      </c>
      <c r="DN24" s="8" t="e">
        <f t="shared" si="2"/>
        <v>#REF!</v>
      </c>
      <c r="DO24" s="8">
        <f t="shared" si="2"/>
        <v>56.700000000000642</v>
      </c>
      <c r="DP24" s="8" t="e">
        <f t="shared" si="2"/>
        <v>#REF!</v>
      </c>
      <c r="DQ24" s="8" t="e">
        <f t="shared" si="2"/>
        <v>#REF!</v>
      </c>
      <c r="DR24" s="1"/>
    </row>
    <row r="25" spans="2:122" ht="15" customHeight="1" x14ac:dyDescent="0.25">
      <c r="B25" s="67" t="s">
        <v>3</v>
      </c>
      <c r="C25" s="62">
        <f>[5]!AUDCAD</f>
        <v>0.98533999999999999</v>
      </c>
      <c r="D25" s="62">
        <f>[5]!AUDCHF</f>
        <v>0.69569999999999999</v>
      </c>
      <c r="E25" s="63">
        <f>[5]!AUDJPY</f>
        <v>80.549000000000007</v>
      </c>
      <c r="F25" s="62">
        <f>[5]!AUDNZD</f>
        <v>1.0731900000000001</v>
      </c>
      <c r="G25" s="62">
        <f>[5]!AUDUSD</f>
        <v>0.71111999999999997</v>
      </c>
      <c r="H25" s="62">
        <f>[5]!CADCHF</f>
        <v>0.70652000000000004</v>
      </c>
      <c r="I25" s="63">
        <f>[5]!CADJPY</f>
        <v>81.81</v>
      </c>
      <c r="J25" s="63">
        <f>[5]!CHFJPY</f>
        <v>115.96</v>
      </c>
      <c r="K25" s="62">
        <f>[5]!EURAUD</f>
        <v>1.5853699999999999</v>
      </c>
      <c r="L25" s="62">
        <f>[5]!EURCAD</f>
        <v>1.55955</v>
      </c>
      <c r="M25" s="62">
        <f>[5]!EURCHF</f>
        <v>1.10114</v>
      </c>
      <c r="N25" s="62">
        <f>[5]!EURGBP</f>
        <v>0.77664999999999995</v>
      </c>
      <c r="O25" s="63">
        <f>[5]!EURJPY</f>
        <v>127.54300000000001</v>
      </c>
      <c r="P25" s="62">
        <f>[5]!EURNZD</f>
        <v>1.69889</v>
      </c>
      <c r="Q25" s="62">
        <f>[5]!EURUSD</f>
        <v>1.1256900000000001</v>
      </c>
      <c r="R25" s="62">
        <f>[5]!GBPAUD</f>
        <v>2.0425800000000001</v>
      </c>
      <c r="S25" s="62">
        <f>[5]!GBPCAD</f>
        <v>2.0093700000000001</v>
      </c>
      <c r="T25" s="62">
        <f>[5]!GBPCHF</f>
        <v>1.41852</v>
      </c>
      <c r="U25" s="63">
        <f>[5]!GBPJPY</f>
        <v>164.34200000000001</v>
      </c>
      <c r="V25" s="62">
        <f>[5]!GBPNZD</f>
        <v>2.1895899999999999</v>
      </c>
      <c r="W25" s="62">
        <f>[5]!GBPUSD</f>
        <v>1.4512499999999999</v>
      </c>
      <c r="X25" s="62">
        <f>[5]!NZDCAD</f>
        <v>0.92042000000000002</v>
      </c>
      <c r="Y25" s="62">
        <f>[5]!NZDCHF</f>
        <v>0.64834999999999998</v>
      </c>
      <c r="Z25" s="63">
        <f>[5]!NZDJPY</f>
        <v>75.135999999999996</v>
      </c>
      <c r="AA25" s="62">
        <f>[5]!NZDUSD</f>
        <v>0.66330999999999996</v>
      </c>
      <c r="AB25" s="62">
        <f>[5]!USDCAD</f>
        <v>1.3856299999999999</v>
      </c>
      <c r="AC25" s="62">
        <f>[5]!USDCHF</f>
        <v>0.97757000000000005</v>
      </c>
      <c r="AD25" s="64">
        <f>[5]!USDJPY</f>
        <v>113.28</v>
      </c>
      <c r="AE25" s="65"/>
      <c r="AF25" s="148">
        <f>[5]!XAUUSD</f>
        <v>1238.3900000000001</v>
      </c>
      <c r="AG25" s="66">
        <v>10</v>
      </c>
      <c r="AH25" s="66">
        <v>2</v>
      </c>
      <c r="CB25" s="33" t="str">
        <f t="shared" si="15"/>
        <v>AUD</v>
      </c>
      <c r="CC25" s="34">
        <f t="shared" si="16"/>
        <v>0.65103876766383018</v>
      </c>
      <c r="CE25" s="1"/>
      <c r="CF25" s="2">
        <f>[1]!EURCHF</f>
        <v>42412.999305555553</v>
      </c>
      <c r="CG25" s="1" t="s">
        <v>10</v>
      </c>
      <c r="CH25" s="1"/>
      <c r="CI25" s="3">
        <f>[2]!EURCHF</f>
        <v>1.10209</v>
      </c>
      <c r="CJ25" s="3">
        <f>[3]!EURCHF</f>
        <v>1.09642</v>
      </c>
      <c r="CK25" s="3">
        <f>[4]!EURCHF</f>
        <v>1.0988100000000001</v>
      </c>
      <c r="CL25" s="3">
        <f>[5]!EURCHF</f>
        <v>1.10114</v>
      </c>
      <c r="CM25" s="4">
        <f t="shared" si="3"/>
        <v>0.42151675485010359</v>
      </c>
      <c r="CN25" s="4">
        <f t="shared" si="14"/>
        <v>0.16754850088183346</v>
      </c>
      <c r="CO25" s="1">
        <v>10000</v>
      </c>
      <c r="CP25" s="6">
        <f t="shared" si="7"/>
        <v>0.57848324514989646</v>
      </c>
      <c r="CQ25" s="1">
        <f t="shared" si="8"/>
        <v>23.299999999999432</v>
      </c>
      <c r="CR25" s="4" t="s">
        <v>37</v>
      </c>
      <c r="CS25" s="6">
        <f t="shared" si="9"/>
        <v>0.42151675485010359</v>
      </c>
      <c r="CT25" s="7">
        <f>LOOKUP(100*CM25,CV21:CV42,CW21:CW42)</f>
        <v>4</v>
      </c>
      <c r="CU25" s="7">
        <f t="shared" si="10"/>
        <v>5</v>
      </c>
      <c r="CV25" s="1">
        <v>6.5</v>
      </c>
      <c r="CW25" s="1">
        <v>1.5</v>
      </c>
      <c r="CX25" s="1"/>
      <c r="CY25" s="1"/>
      <c r="CZ25" s="9" t="e">
        <f>[6]Input!T27</f>
        <v>#REF!</v>
      </c>
      <c r="DA25" s="10" t="e">
        <f>[6]Input!U27</f>
        <v>#REF!</v>
      </c>
      <c r="DB25" s="10" t="e">
        <f>[6]Input!V27</f>
        <v>#REF!</v>
      </c>
      <c r="DC25" s="11"/>
      <c r="DD25" s="1" t="e">
        <f t="shared" si="11"/>
        <v>#REF!</v>
      </c>
      <c r="DE25" s="1" t="e">
        <f t="shared" si="12"/>
        <v>#REF!</v>
      </c>
      <c r="DF25" s="1" t="e">
        <f t="shared" si="13"/>
        <v>#REF!</v>
      </c>
      <c r="DG25" s="1">
        <f t="shared" si="4"/>
        <v>56.700000000000642</v>
      </c>
      <c r="DH25" s="1" t="e">
        <f t="shared" si="5"/>
        <v>#REF!</v>
      </c>
      <c r="DI25" s="1" t="e">
        <f t="shared" si="6"/>
        <v>#REF!</v>
      </c>
      <c r="DJ25" s="1"/>
      <c r="DK25" s="1" t="s">
        <v>11</v>
      </c>
      <c r="DL25" s="1" t="e">
        <f t="shared" si="2"/>
        <v>#REF!</v>
      </c>
      <c r="DM25" s="1" t="e">
        <f t="shared" si="2"/>
        <v>#REF!</v>
      </c>
      <c r="DN25" s="8" t="e">
        <f t="shared" si="2"/>
        <v>#REF!</v>
      </c>
      <c r="DO25" s="8">
        <f t="shared" si="2"/>
        <v>119.70000000000036</v>
      </c>
      <c r="DP25" s="8" t="e">
        <f t="shared" si="2"/>
        <v>#REF!</v>
      </c>
      <c r="DQ25" s="8" t="e">
        <f t="shared" si="2"/>
        <v>#REF!</v>
      </c>
      <c r="DR25" s="1"/>
    </row>
    <row r="26" spans="2:122" x14ac:dyDescent="0.25">
      <c r="B26" s="67" t="s">
        <v>2</v>
      </c>
      <c r="C26" s="62">
        <f>[4]!AUDCAD</f>
        <v>0.98323000000000005</v>
      </c>
      <c r="D26" s="68">
        <f>[4]!AUDCHF</f>
        <v>0.69323000000000001</v>
      </c>
      <c r="E26" s="63">
        <f>[4]!AUDJPY</f>
        <v>80.367000000000004</v>
      </c>
      <c r="F26" s="62">
        <f>[4]!AUDNZD</f>
        <v>1.07104</v>
      </c>
      <c r="G26" s="62">
        <f>[4]!AUDUSD</f>
        <v>0.71014999999999995</v>
      </c>
      <c r="H26" s="62">
        <f>[4]!CADCHF</f>
        <v>0.70443999999999996</v>
      </c>
      <c r="I26" s="63">
        <f>[4]!CADJPY</f>
        <v>81.704999999999998</v>
      </c>
      <c r="J26" s="63">
        <f>[4]!CHFJPY</f>
        <v>115.751</v>
      </c>
      <c r="K26" s="62">
        <f>[4]!EURAUD</f>
        <v>1.5829</v>
      </c>
      <c r="L26" s="62">
        <f>[4]!EURCAD</f>
        <v>1.55809</v>
      </c>
      <c r="M26" s="62">
        <f>[4]!EURCHF</f>
        <v>1.0988100000000001</v>
      </c>
      <c r="N26" s="62">
        <f>[4]!EURGBP</f>
        <v>0.77546000000000004</v>
      </c>
      <c r="O26" s="63">
        <f>[4]!EURJPY</f>
        <v>127.375</v>
      </c>
      <c r="P26" s="62">
        <f>[4]!EURNZD</f>
        <v>1.69781</v>
      </c>
      <c r="Q26" s="62">
        <f>[4]!EURUSD</f>
        <v>1.1252500000000001</v>
      </c>
      <c r="R26" s="62">
        <f>[4]!GBPAUD</f>
        <v>2.03952</v>
      </c>
      <c r="S26" s="62">
        <f>[4]!GBPCAD</f>
        <v>2.00725</v>
      </c>
      <c r="T26" s="62">
        <f>[4]!GBPCHF</f>
        <v>1.4160900000000001</v>
      </c>
      <c r="U26" s="63">
        <f>[4]!GBPJPY</f>
        <v>164.10400000000001</v>
      </c>
      <c r="V26" s="62">
        <f>[4]!GBPNZD</f>
        <v>2.1874099999999999</v>
      </c>
      <c r="W26" s="62">
        <f>[4]!GBPUSD</f>
        <v>1.44922</v>
      </c>
      <c r="X26" s="62">
        <f>[4]!NZDCAD</f>
        <v>0.91671999999999998</v>
      </c>
      <c r="Y26" s="62">
        <f>[4]!NZDCHF</f>
        <v>0.64649000000000001</v>
      </c>
      <c r="Z26" s="63">
        <f>[4]!NZDJPY</f>
        <v>74.956999999999994</v>
      </c>
      <c r="AA26" s="62">
        <f>[4]!NZDUSD</f>
        <v>0.66217000000000004</v>
      </c>
      <c r="AB26" s="62">
        <f>[4]!USDCAD</f>
        <v>1.38456</v>
      </c>
      <c r="AC26" s="62">
        <f>[4]!USDCHF</f>
        <v>0.97641</v>
      </c>
      <c r="AD26" s="64">
        <f>[4]!USDJPY</f>
        <v>113.196</v>
      </c>
      <c r="AE26" s="65"/>
      <c r="AF26" s="148">
        <f>[4]!XAUUSD</f>
        <v>1237.3699999999999</v>
      </c>
      <c r="AG26" s="66">
        <v>25</v>
      </c>
      <c r="AH26" s="66">
        <v>3</v>
      </c>
      <c r="CB26" s="33" t="str">
        <f t="shared" si="15"/>
        <v>GBP</v>
      </c>
      <c r="CC26" s="34">
        <f t="shared" si="16"/>
        <v>0.61692829997703169</v>
      </c>
      <c r="CE26" s="1"/>
      <c r="CF26" s="2">
        <f>[1]!EURUSD</f>
        <v>42412.999305555553</v>
      </c>
      <c r="CG26" s="1" t="s">
        <v>11</v>
      </c>
      <c r="CH26" s="1"/>
      <c r="CI26" s="3">
        <f>[2]!EURUSD</f>
        <v>1.13331</v>
      </c>
      <c r="CJ26" s="3">
        <f>[3]!EURUSD</f>
        <v>1.12134</v>
      </c>
      <c r="CK26" s="3">
        <f>[4]!EURUSD</f>
        <v>1.1252500000000001</v>
      </c>
      <c r="CL26" s="3">
        <f>[5]!EURUSD</f>
        <v>1.1256900000000001</v>
      </c>
      <c r="CM26" s="4">
        <f t="shared" si="3"/>
        <v>0.3266499582289113</v>
      </c>
      <c r="CN26" s="4">
        <f t="shared" si="14"/>
        <v>0.6365914786967366</v>
      </c>
      <c r="CO26" s="1">
        <v>10000</v>
      </c>
      <c r="CP26" s="6">
        <f t="shared" si="7"/>
        <v>0.6733500417710887</v>
      </c>
      <c r="CQ26" s="1">
        <f t="shared" si="8"/>
        <v>4.3999999999999595</v>
      </c>
      <c r="CR26" s="4" t="s">
        <v>37</v>
      </c>
      <c r="CS26" s="6">
        <f t="shared" si="9"/>
        <v>0.3266499582289113</v>
      </c>
      <c r="CT26" s="7">
        <f>LOOKUP(100*CM26,CV21:CV42,CW21:CW42)</f>
        <v>3.5</v>
      </c>
      <c r="CU26" s="7">
        <f t="shared" si="10"/>
        <v>5.5</v>
      </c>
      <c r="CV26" s="1">
        <v>10</v>
      </c>
      <c r="CW26" s="1">
        <v>2</v>
      </c>
      <c r="CX26" s="1"/>
      <c r="CY26" s="1"/>
      <c r="CZ26" s="9" t="e">
        <f>[6]Input!T28</f>
        <v>#REF!</v>
      </c>
      <c r="DA26" s="10" t="e">
        <f>[6]Input!U28</f>
        <v>#REF!</v>
      </c>
      <c r="DB26" s="10" t="e">
        <f>[6]Input!V28</f>
        <v>#REF!</v>
      </c>
      <c r="DC26" s="11"/>
      <c r="DD26" s="1" t="e">
        <f t="shared" si="11"/>
        <v>#REF!</v>
      </c>
      <c r="DE26" s="1" t="e">
        <f t="shared" si="12"/>
        <v>#REF!</v>
      </c>
      <c r="DF26" s="1" t="e">
        <f t="shared" si="13"/>
        <v>#REF!</v>
      </c>
      <c r="DG26" s="1">
        <f t="shared" si="4"/>
        <v>119.70000000000036</v>
      </c>
      <c r="DH26" s="1" t="e">
        <f t="shared" si="5"/>
        <v>#REF!</v>
      </c>
      <c r="DI26" s="1" t="e">
        <f t="shared" si="6"/>
        <v>#REF!</v>
      </c>
      <c r="DJ26" s="1"/>
      <c r="DK26" s="1" t="s">
        <v>12</v>
      </c>
      <c r="DL26" s="1" t="e">
        <f t="shared" si="2"/>
        <v>#REF!</v>
      </c>
      <c r="DM26" s="1" t="e">
        <f t="shared" si="2"/>
        <v>#REF!</v>
      </c>
      <c r="DN26" s="8" t="e">
        <f t="shared" si="2"/>
        <v>#REF!</v>
      </c>
      <c r="DO26" s="8">
        <f t="shared" si="2"/>
        <v>127.89999999999964</v>
      </c>
      <c r="DP26" s="8" t="e">
        <f t="shared" si="2"/>
        <v>#REF!</v>
      </c>
      <c r="DQ26" s="8" t="e">
        <f t="shared" si="2"/>
        <v>#REF!</v>
      </c>
      <c r="DR26" s="1"/>
    </row>
    <row r="27" spans="2:122" ht="15" customHeight="1" thickBot="1" x14ac:dyDescent="0.3">
      <c r="B27" s="69" t="s">
        <v>1</v>
      </c>
      <c r="C27" s="70">
        <f>[3]!AUDCAD</f>
        <v>0.98085999999999995</v>
      </c>
      <c r="D27" s="70">
        <f>[3]!AUDCHF</f>
        <v>0.68872999999999995</v>
      </c>
      <c r="E27" s="71">
        <f>[3]!AUDJPY</f>
        <v>79.269000000000005</v>
      </c>
      <c r="F27" s="70">
        <f>[3]!AUDNZD</f>
        <v>1.05694</v>
      </c>
      <c r="G27" s="70">
        <f>[3]!AUDUSD</f>
        <v>0.70628000000000002</v>
      </c>
      <c r="H27" s="70">
        <f>[3]!CADCHF</f>
        <v>0.69723000000000002</v>
      </c>
      <c r="I27" s="71">
        <f>[3]!CADJPY</f>
        <v>80.275000000000006</v>
      </c>
      <c r="J27" s="71">
        <f>[3]!CHFJPY</f>
        <v>114.765</v>
      </c>
      <c r="K27" s="70">
        <f>[3]!EURAUD</f>
        <v>1.58003</v>
      </c>
      <c r="L27" s="70">
        <f>[3]!EURCAD</f>
        <v>1.55135</v>
      </c>
      <c r="M27" s="70">
        <f>[3]!EURCHF</f>
        <v>1.09642</v>
      </c>
      <c r="N27" s="70">
        <f>[3]!EURGBP</f>
        <v>0.77412000000000003</v>
      </c>
      <c r="O27" s="71">
        <f>[3]!EURJPY</f>
        <v>126.369</v>
      </c>
      <c r="P27" s="70">
        <f>[3]!EURNZD</f>
        <v>1.67869</v>
      </c>
      <c r="Q27" s="70">
        <f>[3]!EURUSD</f>
        <v>1.12134</v>
      </c>
      <c r="R27" s="70">
        <f>[3]!GBPAUD</f>
        <v>2.0299</v>
      </c>
      <c r="S27" s="70">
        <f>[3]!GBPCAD</f>
        <v>1.9984999999999999</v>
      </c>
      <c r="T27" s="70">
        <f>[3]!GBPCHF</f>
        <v>1.4060900000000001</v>
      </c>
      <c r="U27" s="71">
        <f>[3]!GBPJPY</f>
        <v>161.678</v>
      </c>
      <c r="V27" s="70">
        <f>[3]!GBPNZD</f>
        <v>2.1479300000000001</v>
      </c>
      <c r="W27" s="70">
        <f>[3]!GBPUSD</f>
        <v>1.4441999999999999</v>
      </c>
      <c r="X27" s="70">
        <f>[3]!NZDCAD</f>
        <v>0.91540999999999995</v>
      </c>
      <c r="Y27" s="70">
        <f>[3]!NZDCHF</f>
        <v>0.64502000000000004</v>
      </c>
      <c r="Z27" s="71">
        <f>[3]!NZDJPY</f>
        <v>74.506</v>
      </c>
      <c r="AA27" s="70">
        <f>[3]!NZDUSD</f>
        <v>0.66122999999999998</v>
      </c>
      <c r="AB27" s="70">
        <f>[3]!USDCAD</f>
        <v>1.3812199999999999</v>
      </c>
      <c r="AC27" s="70">
        <f>[3]!USDCHF</f>
        <v>0.97131000000000001</v>
      </c>
      <c r="AD27" s="72">
        <f>[3]!USDJPY</f>
        <v>111.651</v>
      </c>
      <c r="AE27" s="65"/>
      <c r="AF27" s="149">
        <f>[3]!XAUUSD</f>
        <v>1232.44</v>
      </c>
      <c r="AG27" s="66">
        <v>40</v>
      </c>
      <c r="AH27" s="66">
        <v>4</v>
      </c>
      <c r="CB27" s="33" t="str">
        <f t="shared" si="15"/>
        <v>USD</v>
      </c>
      <c r="CC27" s="34">
        <f t="shared" si="16"/>
        <v>0.61593540038287209</v>
      </c>
      <c r="CE27" s="1"/>
      <c r="CF27" s="2">
        <f>[1]!EURJPY</f>
        <v>42412.999305555553</v>
      </c>
      <c r="CG27" s="1" t="s">
        <v>12</v>
      </c>
      <c r="CH27" s="1"/>
      <c r="CI27" s="3">
        <f>[2]!EURJPY</f>
        <v>127.648</v>
      </c>
      <c r="CJ27" s="3">
        <f>[3]!EURJPY</f>
        <v>126.369</v>
      </c>
      <c r="CK27" s="3">
        <f>[4]!EURJPY</f>
        <v>127.375</v>
      </c>
      <c r="CL27" s="3">
        <f>[5]!EURJPY</f>
        <v>127.54300000000001</v>
      </c>
      <c r="CM27" s="4">
        <f t="shared" si="3"/>
        <v>0.78655199374511575</v>
      </c>
      <c r="CN27" s="4">
        <f t="shared" si="14"/>
        <v>8.2095387021102473E-2</v>
      </c>
      <c r="CO27" s="1">
        <v>100</v>
      </c>
      <c r="CP27" s="6">
        <f t="shared" si="7"/>
        <v>0.21344800625488425</v>
      </c>
      <c r="CQ27" s="1">
        <f t="shared" si="8"/>
        <v>16.800000000000637</v>
      </c>
      <c r="CR27" s="4" t="s">
        <v>37</v>
      </c>
      <c r="CS27" s="6">
        <f t="shared" si="9"/>
        <v>0.78655199374511575</v>
      </c>
      <c r="CT27" s="7">
        <f>LOOKUP(100*CM27,CV21:CV42,CW21:CW42)</f>
        <v>7</v>
      </c>
      <c r="CU27" s="7">
        <f t="shared" si="10"/>
        <v>2</v>
      </c>
      <c r="CV27" s="1">
        <v>17.5</v>
      </c>
      <c r="CW27" s="1">
        <v>2.5</v>
      </c>
      <c r="CX27" s="1"/>
      <c r="CY27" s="1"/>
      <c r="CZ27" s="9" t="e">
        <f>[6]Input!T29</f>
        <v>#REF!</v>
      </c>
      <c r="DA27" s="10" t="e">
        <f>[6]Input!U29</f>
        <v>#REF!</v>
      </c>
      <c r="DB27" s="10" t="e">
        <f>[6]Input!V29</f>
        <v>#REF!</v>
      </c>
      <c r="DC27" s="11"/>
      <c r="DD27" s="1" t="e">
        <f t="shared" si="11"/>
        <v>#REF!</v>
      </c>
      <c r="DE27" s="1" t="e">
        <f t="shared" si="12"/>
        <v>#REF!</v>
      </c>
      <c r="DF27" s="1" t="e">
        <f t="shared" si="13"/>
        <v>#REF!</v>
      </c>
      <c r="DG27" s="1">
        <f t="shared" si="4"/>
        <v>127.89999999999964</v>
      </c>
      <c r="DH27" s="1" t="e">
        <f t="shared" si="5"/>
        <v>#REF!</v>
      </c>
      <c r="DI27" s="1" t="e">
        <f t="shared" si="6"/>
        <v>#REF!</v>
      </c>
      <c r="DJ27" s="1"/>
      <c r="DK27" s="1"/>
      <c r="DL27" s="1" t="e">
        <f t="shared" ref="DL27:DQ27" si="17">SUM(DL20:DL26)</f>
        <v>#REF!</v>
      </c>
      <c r="DM27" s="1" t="e">
        <f t="shared" si="17"/>
        <v>#REF!</v>
      </c>
      <c r="DN27" s="8" t="e">
        <f t="shared" si="17"/>
        <v>#REF!</v>
      </c>
      <c r="DO27" s="8">
        <f t="shared" si="17"/>
        <v>1073.0000000000005</v>
      </c>
      <c r="DP27" s="8" t="e">
        <f t="shared" si="17"/>
        <v>#REF!</v>
      </c>
      <c r="DQ27" s="8" t="e">
        <f t="shared" si="17"/>
        <v>#REF!</v>
      </c>
      <c r="DR27" s="1"/>
    </row>
    <row r="28" spans="2:122" ht="15" customHeight="1" thickBot="1" x14ac:dyDescent="0.3">
      <c r="B28" s="73" t="s">
        <v>40</v>
      </c>
      <c r="C28" s="74">
        <f>(C25-C26)*10000</f>
        <v>21.099999999999454</v>
      </c>
      <c r="D28" s="75">
        <f>(D25-D26)*10000</f>
        <v>24.699999999999722</v>
      </c>
      <c r="E28" s="75">
        <f>(E25-E26)*100</f>
        <v>18.200000000000216</v>
      </c>
      <c r="F28" s="75">
        <f>(F25-F26)*10000</f>
        <v>21.500000000000963</v>
      </c>
      <c r="G28" s="75">
        <f>(G25-G26)*10000</f>
        <v>9.700000000000264</v>
      </c>
      <c r="H28" s="75">
        <f>(H25-H26)*10000</f>
        <v>20.800000000000818</v>
      </c>
      <c r="I28" s="75">
        <f>(I25-I26)*100</f>
        <v>10.500000000000398</v>
      </c>
      <c r="J28" s="75">
        <f>(J25-J26)*100</f>
        <v>20.899999999998897</v>
      </c>
      <c r="K28" s="75">
        <f>(K25-K26)*10000</f>
        <v>24.699999999999722</v>
      </c>
      <c r="L28" s="75">
        <f>(L25-L26)*10000</f>
        <v>14.600000000000168</v>
      </c>
      <c r="M28" s="75">
        <f>(M25-M26)*10000</f>
        <v>23.299999999999432</v>
      </c>
      <c r="N28" s="75">
        <f>(N25-N26)*10000</f>
        <v>11.899999999999133</v>
      </c>
      <c r="O28" s="75">
        <f>(O25-O26)*100</f>
        <v>16.800000000000637</v>
      </c>
      <c r="P28" s="75">
        <f>(P25-P26)*10000</f>
        <v>10.799999999999699</v>
      </c>
      <c r="Q28" s="75">
        <f>(Q25-Q26)*10000</f>
        <v>4.3999999999999595</v>
      </c>
      <c r="R28" s="75">
        <f>(R25-R26)*10000</f>
        <v>30.600000000000627</v>
      </c>
      <c r="S28" s="75">
        <f>(S25-S26)*10000</f>
        <v>21.200000000001218</v>
      </c>
      <c r="T28" s="75">
        <f>(T25-T26)*10000</f>
        <v>24.299999999999322</v>
      </c>
      <c r="U28" s="75">
        <f>(U25-U26)*100</f>
        <v>23.799999999999955</v>
      </c>
      <c r="V28" s="75">
        <f>(V25-V26)*10000</f>
        <v>21.800000000000708</v>
      </c>
      <c r="W28" s="75">
        <f>(W25-W26)*10000</f>
        <v>20.299999999999763</v>
      </c>
      <c r="X28" s="75">
        <f>(X25-X26)*10000</f>
        <v>37.000000000000369</v>
      </c>
      <c r="Y28" s="75">
        <f>(Y25-Y26)*10000</f>
        <v>18.599999999999728</v>
      </c>
      <c r="Z28" s="75">
        <f>(Z25-Z26)*100</f>
        <v>17.900000000000205</v>
      </c>
      <c r="AA28" s="75">
        <f>(AA25-AA26)*10000</f>
        <v>11.399999999999189</v>
      </c>
      <c r="AB28" s="75">
        <f>(AB25-AB26)*10000</f>
        <v>10.699999999999044</v>
      </c>
      <c r="AC28" s="75">
        <f>(AC25-AC26)*10000</f>
        <v>11.600000000000499</v>
      </c>
      <c r="AD28" s="76">
        <f>(AD25-AD26)*100</f>
        <v>8.4000000000003183</v>
      </c>
      <c r="AE28" s="55"/>
      <c r="AF28" s="150">
        <f>(AF25-AF26)*10</f>
        <v>10.200000000002092</v>
      </c>
      <c r="AG28" s="66">
        <v>50</v>
      </c>
      <c r="AH28" s="66">
        <v>5</v>
      </c>
      <c r="CB28" s="33" t="str">
        <f t="shared" si="15"/>
        <v>CHF</v>
      </c>
      <c r="CC28" s="34">
        <f t="shared" si="16"/>
        <v>0.47499279830418295</v>
      </c>
      <c r="CE28" s="1"/>
      <c r="CF28" s="2">
        <f>[1]!GBPAUD</f>
        <v>42412.998611111114</v>
      </c>
      <c r="CG28" s="1" t="s">
        <v>13</v>
      </c>
      <c r="CH28" s="1"/>
      <c r="CI28" s="3">
        <f>[2]!GBPAUD</f>
        <v>2.0506600000000001</v>
      </c>
      <c r="CJ28" s="3">
        <f>[3]!GBPAUD</f>
        <v>2.0299</v>
      </c>
      <c r="CK28" s="3">
        <f>[4]!GBPAUD</f>
        <v>2.03952</v>
      </c>
      <c r="CL28" s="3">
        <f>[5]!GBPAUD</f>
        <v>2.0425800000000001</v>
      </c>
      <c r="CM28" s="4">
        <f t="shared" si="3"/>
        <v>0.4633911368015371</v>
      </c>
      <c r="CN28" s="4">
        <f t="shared" si="14"/>
        <v>0.38921001926782484</v>
      </c>
      <c r="CO28" s="1">
        <v>10000</v>
      </c>
      <c r="CP28" s="6">
        <f t="shared" si="7"/>
        <v>0.5366088631984629</v>
      </c>
      <c r="CQ28" s="1">
        <f t="shared" si="8"/>
        <v>30.600000000000627</v>
      </c>
      <c r="CR28" s="4" t="s">
        <v>37</v>
      </c>
      <c r="CS28" s="6">
        <f t="shared" si="9"/>
        <v>0.4633911368015371</v>
      </c>
      <c r="CT28" s="7">
        <f>LOOKUP(100*CM28,CV21:CV42,CW21:CW42)</f>
        <v>4.5</v>
      </c>
      <c r="CU28" s="7">
        <f t="shared" si="10"/>
        <v>4.5</v>
      </c>
      <c r="CV28" s="1">
        <v>25</v>
      </c>
      <c r="CW28" s="1">
        <v>3</v>
      </c>
      <c r="CX28" s="1"/>
      <c r="CY28" s="1"/>
      <c r="CZ28" s="9" t="e">
        <f>[6]Input!T30</f>
        <v>#REF!</v>
      </c>
      <c r="DA28" s="10" t="e">
        <f>[6]Input!U30</f>
        <v>#REF!</v>
      </c>
      <c r="DB28" s="10" t="e">
        <f>[6]Input!V30</f>
        <v>#REF!</v>
      </c>
      <c r="DC28" s="11"/>
      <c r="DD28" s="1" t="e">
        <f t="shared" si="11"/>
        <v>#REF!</v>
      </c>
      <c r="DE28" s="1" t="e">
        <f t="shared" si="12"/>
        <v>#REF!</v>
      </c>
      <c r="DF28" s="1" t="e">
        <f t="shared" si="13"/>
        <v>#REF!</v>
      </c>
      <c r="DG28" s="1">
        <f t="shared" si="4"/>
        <v>207.6000000000011</v>
      </c>
      <c r="DH28" s="1" t="e">
        <f t="shared" si="5"/>
        <v>#REF!</v>
      </c>
      <c r="DI28" s="1" t="e">
        <f t="shared" si="6"/>
        <v>#REF!</v>
      </c>
      <c r="DJ28" s="1"/>
      <c r="DK28" s="1" t="s">
        <v>60</v>
      </c>
      <c r="DL28" s="1"/>
      <c r="DM28" s="1"/>
      <c r="DN28" s="8" t="e">
        <f>SUM(DP27+DN27)</f>
        <v>#REF!</v>
      </c>
      <c r="DO28" s="8"/>
      <c r="DP28" s="8"/>
      <c r="DQ28" s="8"/>
      <c r="DR28" s="1"/>
    </row>
    <row r="29" spans="2:122" ht="15.75" thickBot="1" x14ac:dyDescent="0.3">
      <c r="B29" s="77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5"/>
      <c r="AF29" s="52"/>
      <c r="AG29" s="66">
        <v>60</v>
      </c>
      <c r="AH29" s="66">
        <v>6</v>
      </c>
      <c r="CB29" s="33" t="str">
        <f t="shared" si="15"/>
        <v>EUR</v>
      </c>
      <c r="CC29" s="34">
        <f t="shared" si="16"/>
        <v>0.41063694243944848</v>
      </c>
      <c r="CE29" s="1"/>
      <c r="CF29" s="2">
        <f>[1]!GBPNZD</f>
        <v>42412.999305555553</v>
      </c>
      <c r="CG29" s="1" t="s">
        <v>14</v>
      </c>
      <c r="CH29" s="1"/>
      <c r="CI29" s="3">
        <f>[2]!GBPNZD</f>
        <v>2.1941899999999999</v>
      </c>
      <c r="CJ29" s="3">
        <f>[3]!GBPNZD</f>
        <v>2.1479300000000001</v>
      </c>
      <c r="CK29" s="3">
        <f>[4]!GBPNZD</f>
        <v>2.1874099999999999</v>
      </c>
      <c r="CL29" s="3">
        <f>[5]!GBPNZD</f>
        <v>2.1895899999999999</v>
      </c>
      <c r="CM29" s="4">
        <f t="shared" si="3"/>
        <v>0.85343709468222984</v>
      </c>
      <c r="CN29" s="4">
        <f t="shared" si="14"/>
        <v>9.9437959360137537E-2</v>
      </c>
      <c r="CO29" s="1">
        <v>10000</v>
      </c>
      <c r="CP29" s="6">
        <f t="shared" si="7"/>
        <v>0.14656290531777016</v>
      </c>
      <c r="CQ29" s="1">
        <f t="shared" si="8"/>
        <v>21.800000000000708</v>
      </c>
      <c r="CR29" s="4" t="s">
        <v>37</v>
      </c>
      <c r="CS29" s="6">
        <f t="shared" si="9"/>
        <v>0.85343709468222984</v>
      </c>
      <c r="CT29" s="7">
        <f>LOOKUP(100*CM29,CV21:CV42,CW21:CW42)</f>
        <v>7.5</v>
      </c>
      <c r="CU29" s="7">
        <f t="shared" si="10"/>
        <v>1.5</v>
      </c>
      <c r="CV29" s="1">
        <v>32.5</v>
      </c>
      <c r="CW29" s="1">
        <v>3.5</v>
      </c>
      <c r="CX29" s="1"/>
      <c r="CY29" s="1"/>
      <c r="CZ29" s="9" t="e">
        <f>[6]Input!T31</f>
        <v>#REF!</v>
      </c>
      <c r="DA29" s="10" t="e">
        <f>[6]Input!U31</f>
        <v>#REF!</v>
      </c>
      <c r="DB29" s="10" t="e">
        <f>[6]Input!V31</f>
        <v>#REF!</v>
      </c>
      <c r="DC29" s="11"/>
      <c r="DD29" s="1" t="e">
        <f t="shared" si="11"/>
        <v>#REF!</v>
      </c>
      <c r="DE29" s="1" t="e">
        <f t="shared" si="12"/>
        <v>#REF!</v>
      </c>
      <c r="DF29" s="1" t="e">
        <f t="shared" si="13"/>
        <v>#REF!</v>
      </c>
      <c r="DG29" s="1">
        <f t="shared" si="4"/>
        <v>462.59999999999746</v>
      </c>
      <c r="DH29" s="1" t="e">
        <f t="shared" si="5"/>
        <v>#REF!</v>
      </c>
      <c r="DI29" s="1" t="e">
        <f t="shared" si="6"/>
        <v>#REF!</v>
      </c>
      <c r="DJ29" s="1"/>
      <c r="DK29" s="1" t="s">
        <v>61</v>
      </c>
      <c r="DL29" s="1"/>
      <c r="DM29" s="1"/>
      <c r="DN29" s="8" t="e">
        <f>SUM(DQ27-DN27)*-1</f>
        <v>#REF!</v>
      </c>
      <c r="DO29" s="8"/>
      <c r="DP29" s="8"/>
      <c r="DQ29" s="8"/>
      <c r="DR29" s="1"/>
    </row>
    <row r="30" spans="2:122" x14ac:dyDescent="0.25">
      <c r="B30" s="78" t="s">
        <v>321</v>
      </c>
      <c r="C30" s="79">
        <f>($C24:$AD24-$C27:$AD27)*10000</f>
        <v>114.50000000000071</v>
      </c>
      <c r="D30" s="80">
        <f>($C24:$AD24-$C27:$AD27)*10000</f>
        <v>59.600000000000762</v>
      </c>
      <c r="E30" s="80">
        <f>($C24:$AD24-$C27:$AD27)*100</f>
        <v>137.09999999999951</v>
      </c>
      <c r="F30" s="80">
        <f>($C24:$AD24-$C27:$AD27)*10000</f>
        <v>168.69999999999942</v>
      </c>
      <c r="G30" s="80">
        <f>($C24:$AD24-$C27:$AD27)*10000</f>
        <v>64.699999999999761</v>
      </c>
      <c r="H30" s="80">
        <f>($C24:$AD24-$C27:$AD27)*10000</f>
        <v>104.29999999999939</v>
      </c>
      <c r="I30" s="80">
        <f>($C24:$AD24-$C27:$AD27)*100</f>
        <v>176.2999999999991</v>
      </c>
      <c r="J30" s="80">
        <f>($C24:$AD24-$C27:$AD27)*100</f>
        <v>147.89999999999992</v>
      </c>
      <c r="K30" s="80">
        <f>($C24:$AD24-$C27:$AD27)*10000</f>
        <v>162.89999999999915</v>
      </c>
      <c r="L30" s="80">
        <f>($C24:$AD24-$C27:$AD27)*10000</f>
        <v>266.50000000000063</v>
      </c>
      <c r="M30" s="80">
        <f>($C24:$AD24-$C27:$AD27)*10000</f>
        <v>56.700000000000642</v>
      </c>
      <c r="N30" s="80">
        <f>($C24:$AD24-$C27:$AD27)*10000</f>
        <v>85.999999999999403</v>
      </c>
      <c r="O30" s="80">
        <f>($C24:$AD24-$C27:$AD27)*100</f>
        <v>127.89999999999964</v>
      </c>
      <c r="P30" s="80">
        <f>($C24:$AD24-$C27:$AD27)*10000</f>
        <v>253.30000000000075</v>
      </c>
      <c r="Q30" s="80">
        <f>($C24:$AD24-$C27:$AD27)*10000</f>
        <v>119.70000000000036</v>
      </c>
      <c r="R30" s="80">
        <f>($C24:$AD24-$C27:$AD27)*10000</f>
        <v>207.6000000000011</v>
      </c>
      <c r="S30" s="80">
        <f>($C24:$AD24-$C27:$AD27)*10000</f>
        <v>279.50000000000142</v>
      </c>
      <c r="T30" s="80">
        <f>($C24:$AD24-$C27:$AD27)*10000</f>
        <v>150.79999999999981</v>
      </c>
      <c r="U30" s="80">
        <f>($C24:$AD24-$C27:$AD27)*100</f>
        <v>308.40000000000032</v>
      </c>
      <c r="V30" s="80">
        <f>($C24:$AD24-$C27:$AD27)*10000</f>
        <v>462.59999999999746</v>
      </c>
      <c r="W30" s="80">
        <f>($C24:$AD24-$C27:$AD27)*10000</f>
        <v>127.20000000000064</v>
      </c>
      <c r="X30" s="80">
        <f>($C24:$AD24-$C27:$AD27)*10000</f>
        <v>225.30000000000049</v>
      </c>
      <c r="Y30" s="80">
        <f>($C24:$AD24-$C27:$AD27)*10000</f>
        <v>100.79999999999978</v>
      </c>
      <c r="Z30" s="80">
        <f>($C24:$AD24-$C27:$AD27)*100</f>
        <v>137.19999999999999</v>
      </c>
      <c r="AA30" s="80">
        <f>($C24:$AD24-$C27:$AD27)*10000</f>
        <v>126.00000000000055</v>
      </c>
      <c r="AB30" s="80">
        <f>($C24:$AD24-$C27:$AD27)*10000</f>
        <v>152.00000000000102</v>
      </c>
      <c r="AC30" s="80">
        <f>($C24:$AD24-$C27:$AD27)*10000</f>
        <v>76.699999999999548</v>
      </c>
      <c r="AD30" s="81">
        <f>($C24:$AD24-$C27:$AD27)*100</f>
        <v>188.2000000000005</v>
      </c>
      <c r="AE30" s="55"/>
      <c r="AF30" s="145"/>
      <c r="AG30" s="66">
        <v>75</v>
      </c>
      <c r="AH30" s="66">
        <v>7</v>
      </c>
      <c r="CB30" s="33" t="str">
        <f t="shared" si="15"/>
        <v>JPY</v>
      </c>
      <c r="CC30" s="34">
        <f t="shared" si="16"/>
        <v>0.28549936424636019</v>
      </c>
      <c r="CE30" s="1"/>
      <c r="CF30" s="2">
        <f>[1]!GBPCAD</f>
        <v>42412.999305555553</v>
      </c>
      <c r="CG30" s="1" t="s">
        <v>15</v>
      </c>
      <c r="CH30" s="1"/>
      <c r="CI30" s="3">
        <f>[2]!GBPCAD</f>
        <v>2.0264500000000001</v>
      </c>
      <c r="CJ30" s="3">
        <f>[3]!GBPCAD</f>
        <v>1.9984999999999999</v>
      </c>
      <c r="CK30" s="3">
        <f>[4]!GBPCAD</f>
        <v>2.00725</v>
      </c>
      <c r="CL30" s="3">
        <f>[5]!GBPCAD</f>
        <v>2.0093700000000001</v>
      </c>
      <c r="CM30" s="4">
        <f t="shared" si="3"/>
        <v>0.31305903398926621</v>
      </c>
      <c r="CN30" s="4">
        <f t="shared" si="14"/>
        <v>0.6110912343470446</v>
      </c>
      <c r="CO30" s="1">
        <v>10000</v>
      </c>
      <c r="CP30" s="6">
        <f t="shared" si="7"/>
        <v>0.68694096601073373</v>
      </c>
      <c r="CQ30" s="1">
        <f t="shared" si="8"/>
        <v>21.200000000001218</v>
      </c>
      <c r="CR30" s="4" t="s">
        <v>37</v>
      </c>
      <c r="CS30" s="6">
        <f t="shared" si="9"/>
        <v>0.31305903398926621</v>
      </c>
      <c r="CT30" s="7">
        <f>LOOKUP(100*CM30,CV21:CV42,CW21:CW42)</f>
        <v>3</v>
      </c>
      <c r="CU30" s="7">
        <f t="shared" si="10"/>
        <v>6</v>
      </c>
      <c r="CV30" s="1">
        <v>40</v>
      </c>
      <c r="CW30" s="1">
        <v>4</v>
      </c>
      <c r="CX30" s="1"/>
      <c r="CY30" s="1"/>
      <c r="CZ30" s="9" t="e">
        <f>[6]Input!T32</f>
        <v>#REF!</v>
      </c>
      <c r="DA30" s="10" t="e">
        <f>[6]Input!U32</f>
        <v>#REF!</v>
      </c>
      <c r="DB30" s="10" t="e">
        <f>[6]Input!V32</f>
        <v>#REF!</v>
      </c>
      <c r="DC30" s="11"/>
      <c r="DD30" s="1" t="e">
        <f t="shared" si="11"/>
        <v>#REF!</v>
      </c>
      <c r="DE30" s="1" t="e">
        <f t="shared" si="12"/>
        <v>#REF!</v>
      </c>
      <c r="DF30" s="1" t="e">
        <f t="shared" si="13"/>
        <v>#REF!</v>
      </c>
      <c r="DG30" s="1">
        <f t="shared" si="4"/>
        <v>279.50000000000142</v>
      </c>
      <c r="DH30" s="1" t="e">
        <f t="shared" si="5"/>
        <v>#REF!</v>
      </c>
      <c r="DI30" s="1" t="e">
        <f t="shared" si="6"/>
        <v>#REF!</v>
      </c>
      <c r="DJ30" s="1"/>
      <c r="DK30" s="1"/>
      <c r="DL30" s="1"/>
      <c r="DM30" s="1"/>
      <c r="DN30" s="8"/>
      <c r="DO30" s="8"/>
      <c r="DP30" s="8"/>
      <c r="DQ30" s="8"/>
      <c r="DR30" s="1"/>
    </row>
    <row r="31" spans="2:122" ht="15.75" thickBot="1" x14ac:dyDescent="0.3">
      <c r="B31" s="82" t="s">
        <v>322</v>
      </c>
      <c r="C31" s="83">
        <f>($C26:$AD26-$C27:$AD27)/$C30:$AD30*10000</f>
        <v>0.20698689956332572</v>
      </c>
      <c r="D31" s="84">
        <f>($C26:$AD26-$C27:$AD27)/$C30:$AD30*10000</f>
        <v>0.75503355704698016</v>
      </c>
      <c r="E31" s="84">
        <f>($C26:$AD26-$C27:$AD27)/$C30:$AD30*100</f>
        <v>0.80087527352297805</v>
      </c>
      <c r="F31" s="84">
        <f>($C26:$AD26-$C27:$AD27)/$C30:$AD30*10000</f>
        <v>0.83580320094843208</v>
      </c>
      <c r="G31" s="84">
        <f>($C26:$AD26-$C27:$AD27)/$C30:$AD30*10000</f>
        <v>0.59814528593507621</v>
      </c>
      <c r="H31" s="84">
        <f>($C26:$AD26-$C27:$AD27)/$C30:$AD30*10000</f>
        <v>0.69127516778523312</v>
      </c>
      <c r="I31" s="84">
        <f>($C26:$AD26-$C27:$AD27)/$C30:$AD30*100</f>
        <v>0.81111741349971633</v>
      </c>
      <c r="J31" s="84">
        <f>($C26:$AD26-$C27:$AD27)/$C30:$AD30*100</f>
        <v>0.66666666666666985</v>
      </c>
      <c r="K31" s="84">
        <f>($C26:$AD26-$C27:$AD27)/$C30:$AD30*10000</f>
        <v>0.17618170656844342</v>
      </c>
      <c r="L31" s="84">
        <f>($C26:$AD26-$C27:$AD27)/$C30:$AD30*10000</f>
        <v>0.25290806754221212</v>
      </c>
      <c r="M31" s="84">
        <f>($C26:$AD26-$C27:$AD27)/$C30:$AD30*10000</f>
        <v>0.42151675485010359</v>
      </c>
      <c r="N31" s="84">
        <f>($C26:$AD26-$C27:$AD27)/$C30:$AD30*10000</f>
        <v>0.1558139534883741</v>
      </c>
      <c r="O31" s="84">
        <f>($C26:$AD26-$C27:$AD27)/$C30:$AD30*100</f>
        <v>0.78655199374511575</v>
      </c>
      <c r="P31" s="84">
        <f>($C26:$AD26-$C27:$AD27)/$C30:$AD30*10000</f>
        <v>0.75483616265297948</v>
      </c>
      <c r="Q31" s="84">
        <f>($C26:$AD26-$C27:$AD27)/$C30:$AD30*10000</f>
        <v>0.3266499582289113</v>
      </c>
      <c r="R31" s="84">
        <f>($C26:$AD26-$C27:$AD27)/$C30:$AD30*10000</f>
        <v>0.46339113680153715</v>
      </c>
      <c r="S31" s="84">
        <f>($C26:$AD26-$C27:$AD27)/$C30:$AD30*10000</f>
        <v>0.31305903398926621</v>
      </c>
      <c r="T31" s="84">
        <f>($C26:$AD26-$C27:$AD27)/$C30:$AD30*10000</f>
        <v>0.66312997347480251</v>
      </c>
      <c r="U31" s="84">
        <f>($C26:$AD26-$C27:$AD27)/$C30:$AD30*100</f>
        <v>0.7866407263294467</v>
      </c>
      <c r="V31" s="84">
        <f>($C26:$AD26-$C27:$AD27)/$C30:$AD30*10000</f>
        <v>0.85343709468222995</v>
      </c>
      <c r="W31" s="84">
        <f>($C26:$AD26-$C27:$AD27)/$C30:$AD30*10000</f>
        <v>0.39465408805031443</v>
      </c>
      <c r="X31" s="84">
        <f>($C26:$AD26-$C27:$AD27)/$C30:$AD30*10000</f>
        <v>5.8144695960942315E-2</v>
      </c>
      <c r="Y31" s="84">
        <f>($C26:$AD26-$C27:$AD27)/$C30:$AD30*10000</f>
        <v>0.14583333333333082</v>
      </c>
      <c r="Z31" s="84">
        <f>($C26:$AD26-$C27:$AD27)/$C30:$AD30*100</f>
        <v>0.32871720116617598</v>
      </c>
      <c r="AA31" s="84">
        <f>($C26:$AD26-$C27:$AD27)/$C30:$AD30*10000</f>
        <v>7.460317460317839E-2</v>
      </c>
      <c r="AB31" s="84">
        <f>($C26:$AD26-$C27:$AD27)/$C30:$AD30*10000</f>
        <v>0.21973684210526961</v>
      </c>
      <c r="AC31" s="84">
        <f>($C26:$AD26-$C27:$AD27)/$C30:$AD30*10000</f>
        <v>0.66492829204693926</v>
      </c>
      <c r="AD31" s="85">
        <f>($C26:$AD26-$C27:$AD27)/$C30:$AD30*100</f>
        <v>0.82093517534537597</v>
      </c>
      <c r="AE31" s="55"/>
      <c r="AF31" s="146">
        <f>(AF26-AF27)/(AF24-AF27)</f>
        <v>0.31765463917524756</v>
      </c>
      <c r="AG31" s="66">
        <v>90</v>
      </c>
      <c r="AH31" s="66">
        <v>8</v>
      </c>
      <c r="CB31" s="33" t="str">
        <f t="shared" si="15"/>
        <v>NZD</v>
      </c>
      <c r="CC31" s="34">
        <f t="shared" si="16"/>
        <v>0.1661745638257123</v>
      </c>
      <c r="CE31" s="1"/>
      <c r="CF31" s="2">
        <f>[1]!GBPCHF</f>
        <v>42412.998611111114</v>
      </c>
      <c r="CG31" s="1" t="s">
        <v>16</v>
      </c>
      <c r="CH31" s="1"/>
      <c r="CI31" s="3">
        <f>[2]!GBPCHF</f>
        <v>1.42117</v>
      </c>
      <c r="CJ31" s="3">
        <f>[3]!GBPCHF</f>
        <v>1.4060900000000001</v>
      </c>
      <c r="CK31" s="3">
        <f>[4]!GBPCHF</f>
        <v>1.4160900000000001</v>
      </c>
      <c r="CL31" s="3">
        <f>[5]!GBPCHF</f>
        <v>1.41852</v>
      </c>
      <c r="CM31" s="4">
        <f t="shared" si="3"/>
        <v>0.6631299734748024</v>
      </c>
      <c r="CN31" s="4">
        <f t="shared" si="14"/>
        <v>0.17572944297082521</v>
      </c>
      <c r="CO31" s="1">
        <v>10000</v>
      </c>
      <c r="CP31" s="6">
        <f t="shared" si="7"/>
        <v>0.3368700265251976</v>
      </c>
      <c r="CQ31" s="1">
        <f t="shared" si="8"/>
        <v>24.299999999999322</v>
      </c>
      <c r="CR31" s="4" t="s">
        <v>37</v>
      </c>
      <c r="CS31" s="6">
        <f t="shared" si="9"/>
        <v>0.6631299734748024</v>
      </c>
      <c r="CT31" s="7">
        <f>LOOKUP(100*CM31,CV21:CV42,CW21:CW42)</f>
        <v>6</v>
      </c>
      <c r="CU31" s="7">
        <f t="shared" si="10"/>
        <v>3</v>
      </c>
      <c r="CV31" s="1">
        <v>45</v>
      </c>
      <c r="CW31" s="1">
        <v>4.5</v>
      </c>
      <c r="CX31" s="1"/>
      <c r="CY31" s="1"/>
      <c r="CZ31" s="9" t="e">
        <f>[6]Input!T33</f>
        <v>#REF!</v>
      </c>
      <c r="DA31" s="10" t="e">
        <f>[6]Input!U33</f>
        <v>#REF!</v>
      </c>
      <c r="DB31" s="10" t="e">
        <f>[6]Input!V33</f>
        <v>#REF!</v>
      </c>
      <c r="DC31" s="11"/>
      <c r="DD31" s="1" t="e">
        <f t="shared" si="11"/>
        <v>#REF!</v>
      </c>
      <c r="DE31" s="1" t="e">
        <f t="shared" si="12"/>
        <v>#REF!</v>
      </c>
      <c r="DF31" s="1" t="e">
        <f t="shared" si="13"/>
        <v>#REF!</v>
      </c>
      <c r="DG31" s="1">
        <f t="shared" si="4"/>
        <v>150.79999999999981</v>
      </c>
      <c r="DH31" s="1" t="e">
        <f t="shared" si="5"/>
        <v>#REF!</v>
      </c>
      <c r="DI31" s="1" t="e">
        <f t="shared" si="6"/>
        <v>#REF!</v>
      </c>
      <c r="DJ31" s="1"/>
      <c r="DK31" s="5" t="s">
        <v>45</v>
      </c>
      <c r="DL31" s="1" t="s">
        <v>54</v>
      </c>
      <c r="DM31" s="1" t="s">
        <v>55</v>
      </c>
      <c r="DN31" s="1" t="s">
        <v>56</v>
      </c>
      <c r="DO31" s="8" t="s">
        <v>57</v>
      </c>
      <c r="DP31" s="8" t="s">
        <v>58</v>
      </c>
      <c r="DQ31" s="8" t="s">
        <v>59</v>
      </c>
      <c r="DR31" s="1"/>
    </row>
    <row r="32" spans="2:122" ht="15.75" thickBot="1" x14ac:dyDescent="0.3">
      <c r="B32" s="51"/>
      <c r="C32" s="51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G32" s="66">
        <v>97</v>
      </c>
      <c r="AH32" s="66">
        <v>9</v>
      </c>
      <c r="CB32" s="33" t="str">
        <f>CG49</f>
        <v>XAUUSD</v>
      </c>
      <c r="CC32" s="34">
        <f>CM49</f>
        <v>0.31765463917524756</v>
      </c>
      <c r="CE32" s="1"/>
      <c r="CF32" s="2">
        <f>[1]!GBPUSD</f>
        <v>42412.999305555553</v>
      </c>
      <c r="CG32" s="1" t="s">
        <v>17</v>
      </c>
      <c r="CH32" s="1"/>
      <c r="CI32" s="3">
        <f>[2]!GBPUSD</f>
        <v>1.45692</v>
      </c>
      <c r="CJ32" s="3">
        <f>[3]!GBPUSD</f>
        <v>1.4441999999999999</v>
      </c>
      <c r="CK32" s="3">
        <f>[4]!GBPUSD</f>
        <v>1.44922</v>
      </c>
      <c r="CL32" s="3">
        <f>[5]!GBPUSD</f>
        <v>1.4512499999999999</v>
      </c>
      <c r="CM32" s="4">
        <f t="shared" si="3"/>
        <v>0.39465408805031438</v>
      </c>
      <c r="CN32" s="4">
        <f>(CI32-CL32)/(CI32-CJ32)</f>
        <v>0.44575471698113484</v>
      </c>
      <c r="CO32" s="1">
        <v>10000</v>
      </c>
      <c r="CP32" s="6">
        <f t="shared" si="7"/>
        <v>0.60534591194968557</v>
      </c>
      <c r="CQ32" s="1">
        <f t="shared" si="8"/>
        <v>20.299999999999763</v>
      </c>
      <c r="CR32" s="4" t="s">
        <v>37</v>
      </c>
      <c r="CS32" s="6">
        <f t="shared" si="9"/>
        <v>0.39465408805031438</v>
      </c>
      <c r="CT32" s="7">
        <f>LOOKUP(100*CM32,CV21:CV42,CW21:CW42)</f>
        <v>3.5</v>
      </c>
      <c r="CU32" s="7">
        <f t="shared" si="10"/>
        <v>5.5</v>
      </c>
      <c r="CV32" s="1">
        <v>50</v>
      </c>
      <c r="CW32" s="1">
        <v>5</v>
      </c>
      <c r="CX32" s="1"/>
      <c r="CY32" s="1"/>
      <c r="CZ32" s="9" t="e">
        <f>[6]Input!T34</f>
        <v>#REF!</v>
      </c>
      <c r="DA32" s="10" t="e">
        <f>[6]Input!U34</f>
        <v>#REF!</v>
      </c>
      <c r="DB32" s="10" t="e">
        <f>[6]Input!V34</f>
        <v>#REF!</v>
      </c>
      <c r="DC32" s="11"/>
      <c r="DD32" s="1" t="e">
        <f t="shared" si="11"/>
        <v>#REF!</v>
      </c>
      <c r="DE32" s="1" t="e">
        <f t="shared" si="12"/>
        <v>#REF!</v>
      </c>
      <c r="DF32" s="1" t="e">
        <f t="shared" si="13"/>
        <v>#REF!</v>
      </c>
      <c r="DG32" s="1">
        <f t="shared" si="4"/>
        <v>127.20000000000064</v>
      </c>
      <c r="DH32" s="1" t="e">
        <f t="shared" si="5"/>
        <v>#REF!</v>
      </c>
      <c r="DI32" s="1" t="e">
        <f t="shared" si="6"/>
        <v>#REF!</v>
      </c>
      <c r="DJ32" s="1"/>
      <c r="DK32" s="1" t="s">
        <v>6</v>
      </c>
      <c r="DL32" s="1" t="e">
        <f t="shared" ref="DL32:DQ32" si="18">DL20</f>
        <v>#REF!</v>
      </c>
      <c r="DM32" s="1" t="e">
        <f t="shared" si="18"/>
        <v>#REF!</v>
      </c>
      <c r="DN32" s="8" t="e">
        <f t="shared" si="18"/>
        <v>#REF!</v>
      </c>
      <c r="DO32" s="8">
        <f t="shared" si="18"/>
        <v>85.999999999999403</v>
      </c>
      <c r="DP32" s="8" t="e">
        <f t="shared" si="18"/>
        <v>#REF!</v>
      </c>
      <c r="DQ32" s="8" t="e">
        <f t="shared" si="18"/>
        <v>#REF!</v>
      </c>
      <c r="DR32" s="1"/>
    </row>
    <row r="33" spans="2:122" x14ac:dyDescent="0.25">
      <c r="B33" s="86" t="s">
        <v>323</v>
      </c>
      <c r="C33" s="86" t="str">
        <f t="shared" ref="C33:AD33" si="19">LEFT(C23,3)</f>
        <v>AUD</v>
      </c>
      <c r="D33" s="87" t="str">
        <f t="shared" si="19"/>
        <v>AUD</v>
      </c>
      <c r="E33" s="87" t="str">
        <f t="shared" si="19"/>
        <v>AUD</v>
      </c>
      <c r="F33" s="87" t="str">
        <f t="shared" si="19"/>
        <v>AUD</v>
      </c>
      <c r="G33" s="87" t="str">
        <f t="shared" si="19"/>
        <v>AUD</v>
      </c>
      <c r="H33" s="87" t="str">
        <f t="shared" si="19"/>
        <v>CAD</v>
      </c>
      <c r="I33" s="87" t="str">
        <f t="shared" si="19"/>
        <v>CAD</v>
      </c>
      <c r="J33" s="87" t="str">
        <f t="shared" si="19"/>
        <v>CHF</v>
      </c>
      <c r="K33" s="87" t="str">
        <f t="shared" si="19"/>
        <v>EUR</v>
      </c>
      <c r="L33" s="87" t="str">
        <f t="shared" si="19"/>
        <v>EUR</v>
      </c>
      <c r="M33" s="87" t="str">
        <f t="shared" si="19"/>
        <v>EUR</v>
      </c>
      <c r="N33" s="87" t="str">
        <f t="shared" si="19"/>
        <v>EUR</v>
      </c>
      <c r="O33" s="87" t="str">
        <f t="shared" si="19"/>
        <v>EUR</v>
      </c>
      <c r="P33" s="87" t="str">
        <f t="shared" si="19"/>
        <v>EUR</v>
      </c>
      <c r="Q33" s="87" t="str">
        <f t="shared" si="19"/>
        <v>EUR</v>
      </c>
      <c r="R33" s="87" t="str">
        <f t="shared" si="19"/>
        <v>GBP</v>
      </c>
      <c r="S33" s="87" t="str">
        <f t="shared" si="19"/>
        <v>GBP</v>
      </c>
      <c r="T33" s="87" t="str">
        <f t="shared" si="19"/>
        <v>GBP</v>
      </c>
      <c r="U33" s="87" t="str">
        <f t="shared" si="19"/>
        <v>GBP</v>
      </c>
      <c r="V33" s="87" t="str">
        <f t="shared" si="19"/>
        <v>GBP</v>
      </c>
      <c r="W33" s="87" t="str">
        <f t="shared" si="19"/>
        <v>GBP</v>
      </c>
      <c r="X33" s="87" t="str">
        <f t="shared" si="19"/>
        <v>NZD</v>
      </c>
      <c r="Y33" s="87" t="str">
        <f t="shared" si="19"/>
        <v>NZD</v>
      </c>
      <c r="Z33" s="87" t="str">
        <f t="shared" si="19"/>
        <v>NZD</v>
      </c>
      <c r="AA33" s="87" t="str">
        <f t="shared" si="19"/>
        <v>NZD</v>
      </c>
      <c r="AB33" s="87" t="str">
        <f t="shared" si="19"/>
        <v>USD</v>
      </c>
      <c r="AC33" s="87" t="str">
        <f t="shared" si="19"/>
        <v>USD</v>
      </c>
      <c r="AD33" s="88" t="str">
        <f t="shared" si="19"/>
        <v>USD</v>
      </c>
      <c r="AE33" s="52"/>
      <c r="CB33" s="33" t="str">
        <f>CG22</f>
        <v>EURAUD</v>
      </c>
      <c r="CC33" s="34">
        <f>CM22</f>
        <v>0.1761817065684434</v>
      </c>
      <c r="CE33" s="1"/>
      <c r="CF33" s="2">
        <f>[1]!GBPJPY</f>
        <v>42412.999305555553</v>
      </c>
      <c r="CG33" s="1" t="s">
        <v>18</v>
      </c>
      <c r="CH33" s="1"/>
      <c r="CI33" s="3">
        <f>[2]!GBPJPY</f>
        <v>164.762</v>
      </c>
      <c r="CJ33" s="3">
        <f>[3]!GBPJPY</f>
        <v>161.678</v>
      </c>
      <c r="CK33" s="3">
        <f>[4]!GBPJPY</f>
        <v>164.10400000000001</v>
      </c>
      <c r="CL33" s="3">
        <f>[5]!GBPJPY</f>
        <v>164.34200000000001</v>
      </c>
      <c r="CM33" s="4">
        <f t="shared" si="3"/>
        <v>0.7866407263294467</v>
      </c>
      <c r="CN33" s="4">
        <f t="shared" si="14"/>
        <v>0.13618677042801136</v>
      </c>
      <c r="CO33" s="1">
        <v>100</v>
      </c>
      <c r="CP33" s="6">
        <f t="shared" si="7"/>
        <v>0.2133592736705533</v>
      </c>
      <c r="CQ33" s="8">
        <f t="shared" si="8"/>
        <v>23.799999999999955</v>
      </c>
      <c r="CR33" s="4" t="s">
        <v>37</v>
      </c>
      <c r="CS33" s="6">
        <f t="shared" si="9"/>
        <v>0.7866407263294467</v>
      </c>
      <c r="CT33" s="7">
        <f>LOOKUP(100*CM33,CV21:CV42,CW21:CW42)</f>
        <v>7</v>
      </c>
      <c r="CU33" s="7">
        <f t="shared" si="10"/>
        <v>2</v>
      </c>
      <c r="CV33" s="1">
        <v>55</v>
      </c>
      <c r="CW33" s="1">
        <v>5.5</v>
      </c>
      <c r="CX33" s="1"/>
      <c r="CY33" s="1"/>
      <c r="CZ33" s="9" t="e">
        <f>[6]Input!T35</f>
        <v>#REF!</v>
      </c>
      <c r="DA33" s="10" t="e">
        <f>[6]Input!U35</f>
        <v>#REF!</v>
      </c>
      <c r="DB33" s="10" t="e">
        <f>[6]Input!V35</f>
        <v>#REF!</v>
      </c>
      <c r="DC33" s="11"/>
      <c r="DD33" s="8" t="e">
        <f t="shared" si="11"/>
        <v>#REF!</v>
      </c>
      <c r="DE33" s="8" t="e">
        <f t="shared" si="12"/>
        <v>#REF!</v>
      </c>
      <c r="DF33" s="8" t="e">
        <f t="shared" si="13"/>
        <v>#REF!</v>
      </c>
      <c r="DG33" s="8">
        <f t="shared" si="4"/>
        <v>308.40000000000032</v>
      </c>
      <c r="DH33" s="8" t="e">
        <f t="shared" si="5"/>
        <v>#REF!</v>
      </c>
      <c r="DI33" s="8" t="e">
        <f t="shared" si="6"/>
        <v>#REF!</v>
      </c>
      <c r="DJ33" s="1"/>
      <c r="DK33" s="1" t="s">
        <v>13</v>
      </c>
      <c r="DL33" s="1" t="e">
        <f t="shared" ref="DL33:DQ38" si="20">DD28</f>
        <v>#REF!</v>
      </c>
      <c r="DM33" s="1" t="e">
        <f t="shared" si="20"/>
        <v>#REF!</v>
      </c>
      <c r="DN33" s="8" t="e">
        <f t="shared" si="20"/>
        <v>#REF!</v>
      </c>
      <c r="DO33" s="8">
        <f t="shared" si="20"/>
        <v>207.6000000000011</v>
      </c>
      <c r="DP33" s="8" t="e">
        <f t="shared" si="20"/>
        <v>#REF!</v>
      </c>
      <c r="DQ33" s="8" t="e">
        <f t="shared" si="20"/>
        <v>#REF!</v>
      </c>
      <c r="DR33" s="1"/>
    </row>
    <row r="34" spans="2:122" x14ac:dyDescent="0.25">
      <c r="B34" s="89"/>
      <c r="C34" s="90">
        <f t="shared" ref="C34:AD34" si="21">LOOKUP(100*C31,$AG23:$AG32,$AH23:$AH32)</f>
        <v>2</v>
      </c>
      <c r="D34" s="91">
        <f t="shared" si="21"/>
        <v>7</v>
      </c>
      <c r="E34" s="91">
        <f t="shared" si="21"/>
        <v>7</v>
      </c>
      <c r="F34" s="91">
        <f t="shared" si="21"/>
        <v>7</v>
      </c>
      <c r="G34" s="91">
        <f t="shared" si="21"/>
        <v>5</v>
      </c>
      <c r="H34" s="91">
        <f t="shared" si="21"/>
        <v>6</v>
      </c>
      <c r="I34" s="91">
        <f t="shared" si="21"/>
        <v>7</v>
      </c>
      <c r="J34" s="91">
        <f t="shared" si="21"/>
        <v>6</v>
      </c>
      <c r="K34" s="91">
        <f t="shared" si="21"/>
        <v>2</v>
      </c>
      <c r="L34" s="91">
        <f t="shared" si="21"/>
        <v>3</v>
      </c>
      <c r="M34" s="91">
        <f t="shared" si="21"/>
        <v>4</v>
      </c>
      <c r="N34" s="91">
        <f t="shared" si="21"/>
        <v>2</v>
      </c>
      <c r="O34" s="91">
        <f t="shared" si="21"/>
        <v>7</v>
      </c>
      <c r="P34" s="91">
        <f t="shared" si="21"/>
        <v>7</v>
      </c>
      <c r="Q34" s="91">
        <f t="shared" si="21"/>
        <v>3</v>
      </c>
      <c r="R34" s="91">
        <f t="shared" si="21"/>
        <v>4</v>
      </c>
      <c r="S34" s="91">
        <f t="shared" si="21"/>
        <v>3</v>
      </c>
      <c r="T34" s="91">
        <f t="shared" si="21"/>
        <v>6</v>
      </c>
      <c r="U34" s="91">
        <f t="shared" si="21"/>
        <v>7</v>
      </c>
      <c r="V34" s="91">
        <f t="shared" si="21"/>
        <v>7</v>
      </c>
      <c r="W34" s="91">
        <f t="shared" si="21"/>
        <v>3</v>
      </c>
      <c r="X34" s="91">
        <f t="shared" si="21"/>
        <v>1</v>
      </c>
      <c r="Y34" s="91">
        <f t="shared" si="21"/>
        <v>2</v>
      </c>
      <c r="Z34" s="91">
        <f t="shared" si="21"/>
        <v>3</v>
      </c>
      <c r="AA34" s="91">
        <f t="shared" si="21"/>
        <v>1</v>
      </c>
      <c r="AB34" s="91">
        <f t="shared" si="21"/>
        <v>2</v>
      </c>
      <c r="AC34" s="91">
        <f t="shared" si="21"/>
        <v>6</v>
      </c>
      <c r="AD34" s="92">
        <f t="shared" si="21"/>
        <v>7</v>
      </c>
      <c r="AE34" s="52"/>
      <c r="AF34" s="52"/>
      <c r="AG34" s="52"/>
      <c r="AH34" s="52"/>
      <c r="CB34" s="33" t="str">
        <f>CG24</f>
        <v>EURCAD</v>
      </c>
      <c r="CC34" s="34">
        <f>CM24</f>
        <v>0.25290806754221212</v>
      </c>
      <c r="CE34" s="1"/>
      <c r="CF34" s="2">
        <f>[1]!AUDNZD</f>
        <v>42412.999305555553</v>
      </c>
      <c r="CG34" s="1" t="s">
        <v>19</v>
      </c>
      <c r="CH34" s="1"/>
      <c r="CI34" s="3">
        <f>[2]!AUDNZD</f>
        <v>1.0738099999999999</v>
      </c>
      <c r="CJ34" s="3">
        <f>[3]!AUDNZD</f>
        <v>1.05694</v>
      </c>
      <c r="CK34" s="3">
        <f>[4]!AUDNZD</f>
        <v>1.07104</v>
      </c>
      <c r="CL34" s="3">
        <f>[5]!AUDNZD</f>
        <v>1.0731900000000001</v>
      </c>
      <c r="CM34" s="4">
        <f t="shared" si="3"/>
        <v>0.83580320094843219</v>
      </c>
      <c r="CN34" s="4">
        <f t="shared" si="14"/>
        <v>3.6751630112616777E-2</v>
      </c>
      <c r="CO34" s="1">
        <v>10000</v>
      </c>
      <c r="CP34" s="6">
        <f t="shared" si="7"/>
        <v>0.16419679905156781</v>
      </c>
      <c r="CQ34" s="1">
        <f t="shared" si="8"/>
        <v>21.500000000000963</v>
      </c>
      <c r="CR34" s="4" t="s">
        <v>37</v>
      </c>
      <c r="CS34" s="6">
        <f t="shared" si="9"/>
        <v>0.83580320094843219</v>
      </c>
      <c r="CT34" s="7">
        <f>LOOKUP(100*CM34,CV21:CV42,CW21:CW42)</f>
        <v>7.5</v>
      </c>
      <c r="CU34" s="7">
        <f t="shared" si="10"/>
        <v>1.5</v>
      </c>
      <c r="CV34" s="1">
        <v>60</v>
      </c>
      <c r="CW34" s="1">
        <v>6</v>
      </c>
      <c r="CX34" s="1"/>
      <c r="CY34" s="1"/>
      <c r="CZ34" s="9" t="e">
        <f>[6]Input!T36</f>
        <v>#REF!</v>
      </c>
      <c r="DA34" s="10" t="e">
        <f>[6]Input!U36</f>
        <v>#REF!</v>
      </c>
      <c r="DB34" s="10" t="e">
        <f>[6]Input!V36</f>
        <v>#REF!</v>
      </c>
      <c r="DC34" s="11"/>
      <c r="DD34" s="1" t="e">
        <f t="shared" si="11"/>
        <v>#REF!</v>
      </c>
      <c r="DE34" s="1" t="e">
        <f t="shared" si="12"/>
        <v>#REF!</v>
      </c>
      <c r="DF34" s="1" t="e">
        <f t="shared" si="13"/>
        <v>#REF!</v>
      </c>
      <c r="DG34" s="1">
        <f t="shared" si="4"/>
        <v>168.69999999999942</v>
      </c>
      <c r="DH34" s="1" t="e">
        <f t="shared" si="5"/>
        <v>#REF!</v>
      </c>
      <c r="DI34" s="1" t="e">
        <f t="shared" si="6"/>
        <v>#REF!</v>
      </c>
      <c r="DJ34" s="1"/>
      <c r="DK34" s="1" t="s">
        <v>14</v>
      </c>
      <c r="DL34" s="1" t="e">
        <f t="shared" si="20"/>
        <v>#REF!</v>
      </c>
      <c r="DM34" s="1" t="e">
        <f t="shared" si="20"/>
        <v>#REF!</v>
      </c>
      <c r="DN34" s="8" t="e">
        <f t="shared" si="20"/>
        <v>#REF!</v>
      </c>
      <c r="DO34" s="8">
        <f t="shared" si="20"/>
        <v>462.59999999999746</v>
      </c>
      <c r="DP34" s="8" t="e">
        <f t="shared" si="20"/>
        <v>#REF!</v>
      </c>
      <c r="DQ34" s="8" t="e">
        <f t="shared" si="20"/>
        <v>#REF!</v>
      </c>
      <c r="DR34" s="1"/>
    </row>
    <row r="35" spans="2:122" x14ac:dyDescent="0.25">
      <c r="B35" s="89" t="s">
        <v>324</v>
      </c>
      <c r="C35" s="89" t="str">
        <f t="shared" ref="C35:AD35" si="22">RIGHT(C23,3)</f>
        <v>CAD</v>
      </c>
      <c r="D35" s="93" t="str">
        <f t="shared" si="22"/>
        <v>CHF</v>
      </c>
      <c r="E35" s="93" t="str">
        <f t="shared" si="22"/>
        <v>JPY</v>
      </c>
      <c r="F35" s="93" t="str">
        <f t="shared" si="22"/>
        <v>NZD</v>
      </c>
      <c r="G35" s="93" t="str">
        <f t="shared" si="22"/>
        <v>USD</v>
      </c>
      <c r="H35" s="93" t="str">
        <f t="shared" si="22"/>
        <v>CHF</v>
      </c>
      <c r="I35" s="93" t="str">
        <f t="shared" si="22"/>
        <v>JPY</v>
      </c>
      <c r="J35" s="93" t="str">
        <f t="shared" si="22"/>
        <v>JPY</v>
      </c>
      <c r="K35" s="93" t="str">
        <f t="shared" si="22"/>
        <v>AUD</v>
      </c>
      <c r="L35" s="93" t="str">
        <f t="shared" si="22"/>
        <v>CAD</v>
      </c>
      <c r="M35" s="93" t="str">
        <f t="shared" si="22"/>
        <v>CHF</v>
      </c>
      <c r="N35" s="93" t="str">
        <f t="shared" si="22"/>
        <v>GBP</v>
      </c>
      <c r="O35" s="93" t="str">
        <f t="shared" si="22"/>
        <v>JPY</v>
      </c>
      <c r="P35" s="93" t="str">
        <f t="shared" si="22"/>
        <v>NZD</v>
      </c>
      <c r="Q35" s="93" t="str">
        <f t="shared" si="22"/>
        <v>USD</v>
      </c>
      <c r="R35" s="93" t="str">
        <f t="shared" si="22"/>
        <v>AUD</v>
      </c>
      <c r="S35" s="93" t="str">
        <f t="shared" si="22"/>
        <v>CAD</v>
      </c>
      <c r="T35" s="93" t="str">
        <f t="shared" si="22"/>
        <v>CHF</v>
      </c>
      <c r="U35" s="93" t="str">
        <f t="shared" si="22"/>
        <v>JPY</v>
      </c>
      <c r="V35" s="93" t="str">
        <f t="shared" si="22"/>
        <v>NZD</v>
      </c>
      <c r="W35" s="93" t="str">
        <f t="shared" si="22"/>
        <v>USD</v>
      </c>
      <c r="X35" s="93" t="str">
        <f t="shared" si="22"/>
        <v>CAD</v>
      </c>
      <c r="Y35" s="93" t="str">
        <f t="shared" si="22"/>
        <v>CHF</v>
      </c>
      <c r="Z35" s="93" t="str">
        <f t="shared" si="22"/>
        <v>JPY</v>
      </c>
      <c r="AA35" s="93" t="str">
        <f t="shared" si="22"/>
        <v>USD</v>
      </c>
      <c r="AB35" s="93" t="str">
        <f t="shared" si="22"/>
        <v>CAD</v>
      </c>
      <c r="AC35" s="93" t="str">
        <f t="shared" si="22"/>
        <v>CHF</v>
      </c>
      <c r="AD35" s="94" t="str">
        <f t="shared" si="22"/>
        <v>JPY</v>
      </c>
      <c r="AE35" s="52"/>
      <c r="AF35" s="52"/>
      <c r="AG35" s="52"/>
      <c r="AH35" s="52"/>
      <c r="CB35" s="33" t="str">
        <f>CG27</f>
        <v>EURJPY</v>
      </c>
      <c r="CC35" s="34">
        <f>CM27</f>
        <v>0.78655199374511575</v>
      </c>
      <c r="CE35" s="1"/>
      <c r="CF35" s="2">
        <f>[1]!AUDCAD</f>
        <v>42412.999305555553</v>
      </c>
      <c r="CG35" s="1" t="s">
        <v>20</v>
      </c>
      <c r="CH35" s="1"/>
      <c r="CI35" s="3">
        <f>[2]!AUDCAD</f>
        <v>0.99231000000000003</v>
      </c>
      <c r="CJ35" s="3">
        <f>[3]!AUDCAD</f>
        <v>0.98085999999999995</v>
      </c>
      <c r="CK35" s="3">
        <f>[4]!AUDCAD</f>
        <v>0.98323000000000005</v>
      </c>
      <c r="CL35" s="3">
        <f>[5]!AUDCAD</f>
        <v>0.98533999999999999</v>
      </c>
      <c r="CM35" s="4">
        <f t="shared" si="3"/>
        <v>0.20698689956332572</v>
      </c>
      <c r="CN35" s="4">
        <f t="shared" si="14"/>
        <v>0.60873362445414747</v>
      </c>
      <c r="CO35" s="1">
        <v>10000</v>
      </c>
      <c r="CP35" s="6">
        <f t="shared" si="7"/>
        <v>0.79301310043667428</v>
      </c>
      <c r="CQ35" s="1">
        <f t="shared" si="8"/>
        <v>21.099999999999454</v>
      </c>
      <c r="CR35" s="4" t="s">
        <v>37</v>
      </c>
      <c r="CS35" s="6">
        <f t="shared" si="9"/>
        <v>0.20698689956332572</v>
      </c>
      <c r="CT35" s="7">
        <f>LOOKUP(100*CM35,CV21:CV42,CW21:CW42)</f>
        <v>2.5</v>
      </c>
      <c r="CU35" s="7">
        <f t="shared" si="10"/>
        <v>6.5</v>
      </c>
      <c r="CV35" s="1">
        <v>67.5</v>
      </c>
      <c r="CW35" s="1">
        <v>6.5</v>
      </c>
      <c r="CX35" s="1"/>
      <c r="CY35" s="1"/>
      <c r="CZ35" s="9" t="e">
        <f>[6]Input!T37</f>
        <v>#REF!</v>
      </c>
      <c r="DA35" s="10" t="e">
        <f>[6]Input!U37</f>
        <v>#REF!</v>
      </c>
      <c r="DB35" s="10" t="e">
        <f>[6]Input!V37</f>
        <v>#REF!</v>
      </c>
      <c r="DC35" s="11"/>
      <c r="DD35" s="1" t="e">
        <f t="shared" si="11"/>
        <v>#REF!</v>
      </c>
      <c r="DE35" s="1" t="e">
        <f t="shared" si="12"/>
        <v>#REF!</v>
      </c>
      <c r="DF35" s="1" t="e">
        <f t="shared" si="13"/>
        <v>#REF!</v>
      </c>
      <c r="DG35" s="1">
        <f t="shared" si="4"/>
        <v>114.50000000000071</v>
      </c>
      <c r="DH35" s="1" t="e">
        <f t="shared" si="5"/>
        <v>#REF!</v>
      </c>
      <c r="DI35" s="1" t="e">
        <f t="shared" si="6"/>
        <v>#REF!</v>
      </c>
      <c r="DJ35" s="1"/>
      <c r="DK35" s="1" t="s">
        <v>15</v>
      </c>
      <c r="DL35" s="1" t="e">
        <f t="shared" si="20"/>
        <v>#REF!</v>
      </c>
      <c r="DM35" s="1" t="e">
        <f t="shared" si="20"/>
        <v>#REF!</v>
      </c>
      <c r="DN35" s="8" t="e">
        <f t="shared" si="20"/>
        <v>#REF!</v>
      </c>
      <c r="DO35" s="8">
        <f t="shared" si="20"/>
        <v>279.50000000000142</v>
      </c>
      <c r="DP35" s="8" t="e">
        <f t="shared" si="20"/>
        <v>#REF!</v>
      </c>
      <c r="DQ35" s="8" t="e">
        <f t="shared" si="20"/>
        <v>#REF!</v>
      </c>
      <c r="DR35" s="1"/>
    </row>
    <row r="36" spans="2:122" ht="15.75" thickBot="1" x14ac:dyDescent="0.3">
      <c r="B36" s="95"/>
      <c r="C36" s="96">
        <f t="shared" ref="C36:AD36" si="23">9-C34</f>
        <v>7</v>
      </c>
      <c r="D36" s="97">
        <f t="shared" si="23"/>
        <v>2</v>
      </c>
      <c r="E36" s="97">
        <f t="shared" si="23"/>
        <v>2</v>
      </c>
      <c r="F36" s="97">
        <f t="shared" si="23"/>
        <v>2</v>
      </c>
      <c r="G36" s="97">
        <f t="shared" si="23"/>
        <v>4</v>
      </c>
      <c r="H36" s="97">
        <f t="shared" si="23"/>
        <v>3</v>
      </c>
      <c r="I36" s="97">
        <f t="shared" si="23"/>
        <v>2</v>
      </c>
      <c r="J36" s="97">
        <f t="shared" si="23"/>
        <v>3</v>
      </c>
      <c r="K36" s="97">
        <f t="shared" si="23"/>
        <v>7</v>
      </c>
      <c r="L36" s="97">
        <f t="shared" si="23"/>
        <v>6</v>
      </c>
      <c r="M36" s="97">
        <f t="shared" si="23"/>
        <v>5</v>
      </c>
      <c r="N36" s="97">
        <f t="shared" si="23"/>
        <v>7</v>
      </c>
      <c r="O36" s="97">
        <f t="shared" si="23"/>
        <v>2</v>
      </c>
      <c r="P36" s="97">
        <f t="shared" si="23"/>
        <v>2</v>
      </c>
      <c r="Q36" s="97">
        <f t="shared" si="23"/>
        <v>6</v>
      </c>
      <c r="R36" s="97">
        <f t="shared" si="23"/>
        <v>5</v>
      </c>
      <c r="S36" s="97">
        <f t="shared" si="23"/>
        <v>6</v>
      </c>
      <c r="T36" s="97">
        <f t="shared" si="23"/>
        <v>3</v>
      </c>
      <c r="U36" s="97">
        <f t="shared" si="23"/>
        <v>2</v>
      </c>
      <c r="V36" s="97">
        <f t="shared" si="23"/>
        <v>2</v>
      </c>
      <c r="W36" s="97">
        <f t="shared" si="23"/>
        <v>6</v>
      </c>
      <c r="X36" s="97">
        <f t="shared" si="23"/>
        <v>8</v>
      </c>
      <c r="Y36" s="97">
        <f t="shared" si="23"/>
        <v>7</v>
      </c>
      <c r="Z36" s="97">
        <f t="shared" si="23"/>
        <v>6</v>
      </c>
      <c r="AA36" s="97">
        <f t="shared" si="23"/>
        <v>8</v>
      </c>
      <c r="AB36" s="97">
        <f t="shared" si="23"/>
        <v>7</v>
      </c>
      <c r="AC36" s="97">
        <f t="shared" si="23"/>
        <v>3</v>
      </c>
      <c r="AD36" s="98">
        <f t="shared" si="23"/>
        <v>2</v>
      </c>
      <c r="AE36" s="52"/>
      <c r="AF36" s="52"/>
      <c r="AG36" s="52"/>
      <c r="AH36" s="52"/>
      <c r="CB36" s="33" t="str">
        <f>CG23</f>
        <v>EURNZD</v>
      </c>
      <c r="CC36" s="34">
        <f>CM23</f>
        <v>0.75483616265297948</v>
      </c>
      <c r="CE36" s="1"/>
      <c r="CF36" s="2">
        <f>[1]!AUDCHF</f>
        <v>42412.999305555553</v>
      </c>
      <c r="CG36" s="1" t="s">
        <v>21</v>
      </c>
      <c r="CH36" s="1"/>
      <c r="CI36" s="3">
        <f>[2]!AUDCHF</f>
        <v>0.69469000000000003</v>
      </c>
      <c r="CJ36" s="3">
        <f>[3]!AUDCHF</f>
        <v>0.68872999999999995</v>
      </c>
      <c r="CK36" s="3">
        <f>[4]!AUDCHF</f>
        <v>0.69323000000000001</v>
      </c>
      <c r="CL36" s="3">
        <f>[5]!AUDCHF</f>
        <v>0.69569999999999999</v>
      </c>
      <c r="CM36" s="4">
        <f t="shared" si="3"/>
        <v>0.75503355704698016</v>
      </c>
      <c r="CN36" s="4">
        <f t="shared" si="14"/>
        <v>-0.16946308724831249</v>
      </c>
      <c r="CO36" s="1">
        <v>10000</v>
      </c>
      <c r="CP36" s="6">
        <f t="shared" si="7"/>
        <v>0.24496644295301984</v>
      </c>
      <c r="CQ36" s="1">
        <f t="shared" si="8"/>
        <v>24.699999999999722</v>
      </c>
      <c r="CR36" s="4" t="s">
        <v>37</v>
      </c>
      <c r="CS36" s="6">
        <f t="shared" si="9"/>
        <v>0.75503355704698016</v>
      </c>
      <c r="CT36" s="7">
        <f>LOOKUP(100*CM36,CV21:CV42,CW21:CW42)</f>
        <v>7</v>
      </c>
      <c r="CU36" s="7">
        <f t="shared" si="10"/>
        <v>2</v>
      </c>
      <c r="CV36" s="1">
        <v>75</v>
      </c>
      <c r="CW36" s="1">
        <v>7</v>
      </c>
      <c r="CX36" s="1"/>
      <c r="CY36" s="1"/>
      <c r="CZ36" s="9" t="e">
        <f>[6]Input!T38</f>
        <v>#REF!</v>
      </c>
      <c r="DA36" s="10" t="e">
        <f>[6]Input!U38</f>
        <v>#REF!</v>
      </c>
      <c r="DB36" s="10" t="e">
        <f>[6]Input!V38</f>
        <v>#REF!</v>
      </c>
      <c r="DC36" s="11"/>
      <c r="DD36" s="1" t="e">
        <f t="shared" si="11"/>
        <v>#REF!</v>
      </c>
      <c r="DE36" s="1" t="e">
        <f t="shared" si="12"/>
        <v>#REF!</v>
      </c>
      <c r="DF36" s="1" t="e">
        <f t="shared" si="13"/>
        <v>#REF!</v>
      </c>
      <c r="DG36" s="1">
        <f t="shared" si="4"/>
        <v>59.600000000000762</v>
      </c>
      <c r="DH36" s="1" t="e">
        <f t="shared" si="5"/>
        <v>#REF!</v>
      </c>
      <c r="DI36" s="1" t="e">
        <f t="shared" si="6"/>
        <v>#REF!</v>
      </c>
      <c r="DJ36" s="1"/>
      <c r="DK36" s="1" t="s">
        <v>16</v>
      </c>
      <c r="DL36" s="1" t="e">
        <f t="shared" si="20"/>
        <v>#REF!</v>
      </c>
      <c r="DM36" s="1" t="e">
        <f t="shared" si="20"/>
        <v>#REF!</v>
      </c>
      <c r="DN36" s="8" t="e">
        <f t="shared" si="20"/>
        <v>#REF!</v>
      </c>
      <c r="DO36" s="8">
        <f t="shared" si="20"/>
        <v>150.79999999999981</v>
      </c>
      <c r="DP36" s="8" t="e">
        <f t="shared" si="20"/>
        <v>#REF!</v>
      </c>
      <c r="DQ36" s="8" t="e">
        <f t="shared" si="20"/>
        <v>#REF!</v>
      </c>
      <c r="DR36" s="1"/>
    </row>
    <row r="37" spans="2:122" ht="15.75" thickBot="1" x14ac:dyDescent="0.3">
      <c r="B37" s="51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CB37" s="33" t="str">
        <f>CG28</f>
        <v>GBPAUD</v>
      </c>
      <c r="CC37" s="34">
        <f>CM28</f>
        <v>0.4633911368015371</v>
      </c>
      <c r="CE37" s="1"/>
      <c r="CF37" s="2">
        <f>[1]!AUDUSD</f>
        <v>42412.999305555553</v>
      </c>
      <c r="CG37" s="1" t="s">
        <v>22</v>
      </c>
      <c r="CH37" s="1"/>
      <c r="CI37" s="3">
        <f>[2]!AUDUSD</f>
        <v>0.71274999999999999</v>
      </c>
      <c r="CJ37" s="3">
        <f>[3]!AUDUSD</f>
        <v>0.70628000000000002</v>
      </c>
      <c r="CK37" s="3">
        <f>[4]!AUDUSD</f>
        <v>0.71014999999999995</v>
      </c>
      <c r="CL37" s="3">
        <f>[5]!AUDUSD</f>
        <v>0.71111999999999997</v>
      </c>
      <c r="CM37" s="4">
        <f t="shared" si="3"/>
        <v>0.59814528593507632</v>
      </c>
      <c r="CN37" s="4">
        <f t="shared" si="14"/>
        <v>0.25193199381762388</v>
      </c>
      <c r="CO37" s="1">
        <v>10000</v>
      </c>
      <c r="CP37" s="6">
        <f t="shared" si="7"/>
        <v>0.40185471406492368</v>
      </c>
      <c r="CQ37" s="1">
        <f t="shared" si="8"/>
        <v>9.700000000000264</v>
      </c>
      <c r="CR37" s="4" t="s">
        <v>37</v>
      </c>
      <c r="CS37" s="6">
        <f t="shared" si="9"/>
        <v>0.59814528593507632</v>
      </c>
      <c r="CT37" s="7">
        <f>LOOKUP(100*CM37,CV21:CV42,CW21:CW42)</f>
        <v>5.5</v>
      </c>
      <c r="CU37" s="7">
        <f t="shared" si="10"/>
        <v>3.5</v>
      </c>
      <c r="CV37" s="1">
        <v>82.5</v>
      </c>
      <c r="CW37" s="1">
        <v>7.5</v>
      </c>
      <c r="CX37" s="1"/>
      <c r="CY37" s="1"/>
      <c r="CZ37" s="9" t="e">
        <f>[6]Input!T39</f>
        <v>#REF!</v>
      </c>
      <c r="DA37" s="10" t="e">
        <f>[6]Input!U39</f>
        <v>#REF!</v>
      </c>
      <c r="DB37" s="10" t="e">
        <f>[6]Input!V39</f>
        <v>#REF!</v>
      </c>
      <c r="DC37" s="11"/>
      <c r="DD37" s="1" t="e">
        <f t="shared" si="11"/>
        <v>#REF!</v>
      </c>
      <c r="DE37" s="1" t="e">
        <f t="shared" si="12"/>
        <v>#REF!</v>
      </c>
      <c r="DF37" s="1" t="e">
        <f t="shared" si="13"/>
        <v>#REF!</v>
      </c>
      <c r="DG37" s="1">
        <f t="shared" si="4"/>
        <v>64.699999999999761</v>
      </c>
      <c r="DH37" s="1" t="e">
        <f t="shared" si="5"/>
        <v>#REF!</v>
      </c>
      <c r="DI37" s="1" t="e">
        <f t="shared" si="6"/>
        <v>#REF!</v>
      </c>
      <c r="DJ37" s="1"/>
      <c r="DK37" s="1" t="s">
        <v>17</v>
      </c>
      <c r="DL37" s="1" t="e">
        <f t="shared" si="20"/>
        <v>#REF!</v>
      </c>
      <c r="DM37" s="1" t="e">
        <f t="shared" si="20"/>
        <v>#REF!</v>
      </c>
      <c r="DN37" s="8" t="e">
        <f t="shared" si="20"/>
        <v>#REF!</v>
      </c>
      <c r="DO37" s="8">
        <f t="shared" si="20"/>
        <v>127.20000000000064</v>
      </c>
      <c r="DP37" s="8" t="e">
        <f t="shared" si="20"/>
        <v>#REF!</v>
      </c>
      <c r="DQ37" s="8" t="e">
        <f t="shared" si="20"/>
        <v>#REF!</v>
      </c>
      <c r="DR37" s="1"/>
    </row>
    <row r="38" spans="2:122" ht="15.75" customHeight="1" thickBot="1" x14ac:dyDescent="0.3">
      <c r="B38" s="175" t="s">
        <v>325</v>
      </c>
      <c r="C38" s="176"/>
      <c r="D38" s="99" t="s">
        <v>51</v>
      </c>
      <c r="E38" s="99" t="s">
        <v>44</v>
      </c>
      <c r="F38" s="99" t="s">
        <v>45</v>
      </c>
      <c r="G38" s="99" t="s">
        <v>49</v>
      </c>
      <c r="H38" s="100" t="s">
        <v>48</v>
      </c>
      <c r="I38" s="101" t="s">
        <v>46</v>
      </c>
      <c r="J38" s="102" t="s">
        <v>47</v>
      </c>
      <c r="K38" s="103" t="s">
        <v>53</v>
      </c>
      <c r="L38" s="52"/>
      <c r="M38" s="52"/>
      <c r="N38" s="104" t="s">
        <v>326</v>
      </c>
      <c r="O38" s="52"/>
      <c r="P38" s="179" t="s">
        <v>327</v>
      </c>
      <c r="Q38" s="180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CB38" s="33" t="str">
        <f>CG30</f>
        <v>GBPCAD</v>
      </c>
      <c r="CC38" s="34">
        <f>CM30</f>
        <v>0.31305903398926621</v>
      </c>
      <c r="CE38" s="1"/>
      <c r="CF38" s="2">
        <f>[1]!AUDJPY</f>
        <v>42412.999305555553</v>
      </c>
      <c r="CG38" s="1" t="s">
        <v>23</v>
      </c>
      <c r="CH38" s="1"/>
      <c r="CI38" s="3">
        <f>[2]!AUDJPY</f>
        <v>80.64</v>
      </c>
      <c r="CJ38" s="3">
        <f>[3]!AUDJPY</f>
        <v>79.269000000000005</v>
      </c>
      <c r="CK38" s="3">
        <f>[4]!AUDJPY</f>
        <v>80.367000000000004</v>
      </c>
      <c r="CL38" s="3">
        <f>[5]!AUDJPY</f>
        <v>80.549000000000007</v>
      </c>
      <c r="CM38" s="4">
        <f t="shared" si="3"/>
        <v>0.80087527352297805</v>
      </c>
      <c r="CN38" s="4">
        <f t="shared" si="14"/>
        <v>6.6374908825670528E-2</v>
      </c>
      <c r="CO38" s="1">
        <v>100</v>
      </c>
      <c r="CP38" s="6">
        <f t="shared" si="7"/>
        <v>0.19912472647702195</v>
      </c>
      <c r="CQ38" s="1">
        <f t="shared" si="8"/>
        <v>18.200000000000216</v>
      </c>
      <c r="CR38" s="4" t="s">
        <v>37</v>
      </c>
      <c r="CS38" s="6">
        <f t="shared" si="9"/>
        <v>0.80087527352297805</v>
      </c>
      <c r="CT38" s="7">
        <f>LOOKUP(100*CM38,CV21:CV42,CW21:CW42)</f>
        <v>7</v>
      </c>
      <c r="CU38" s="7">
        <f t="shared" si="10"/>
        <v>2</v>
      </c>
      <c r="CV38" s="1">
        <v>90</v>
      </c>
      <c r="CW38" s="1">
        <v>8</v>
      </c>
      <c r="CX38" s="1"/>
      <c r="CY38" s="1"/>
      <c r="CZ38" s="9" t="e">
        <f>[6]Input!T40</f>
        <v>#REF!</v>
      </c>
      <c r="DA38" s="10" t="e">
        <f>[6]Input!U40</f>
        <v>#REF!</v>
      </c>
      <c r="DB38" s="10" t="e">
        <f>[6]Input!V40</f>
        <v>#REF!</v>
      </c>
      <c r="DC38" s="11"/>
      <c r="DD38" s="1" t="e">
        <f t="shared" si="11"/>
        <v>#REF!</v>
      </c>
      <c r="DE38" s="1" t="e">
        <f t="shared" si="12"/>
        <v>#REF!</v>
      </c>
      <c r="DF38" s="1" t="e">
        <f t="shared" si="13"/>
        <v>#REF!</v>
      </c>
      <c r="DG38" s="1">
        <f t="shared" si="4"/>
        <v>137.09999999999951</v>
      </c>
      <c r="DH38" s="1" t="e">
        <f t="shared" si="5"/>
        <v>#REF!</v>
      </c>
      <c r="DI38" s="1" t="e">
        <f t="shared" si="6"/>
        <v>#REF!</v>
      </c>
      <c r="DJ38" s="1"/>
      <c r="DK38" s="1" t="s">
        <v>18</v>
      </c>
      <c r="DL38" s="1" t="e">
        <f t="shared" si="20"/>
        <v>#REF!</v>
      </c>
      <c r="DM38" s="1" t="e">
        <f t="shared" si="20"/>
        <v>#REF!</v>
      </c>
      <c r="DN38" s="8" t="e">
        <f t="shared" si="20"/>
        <v>#REF!</v>
      </c>
      <c r="DO38" s="8">
        <f t="shared" si="20"/>
        <v>308.40000000000032</v>
      </c>
      <c r="DP38" s="8" t="e">
        <f t="shared" si="20"/>
        <v>#REF!</v>
      </c>
      <c r="DQ38" s="8" t="e">
        <f t="shared" si="20"/>
        <v>#REF!</v>
      </c>
      <c r="DR38" s="1"/>
    </row>
    <row r="39" spans="2:122" ht="16.5" thickBot="1" x14ac:dyDescent="0.3">
      <c r="B39" s="177"/>
      <c r="C39" s="178"/>
      <c r="D39" s="105">
        <f>(G36+Q36+W36+AA36+AB34+AC34+AD34)/D40</f>
        <v>5.5714285714285712</v>
      </c>
      <c r="E39" s="105">
        <f>(K34+L34+M34+N34+O34+P34+Q34)/E40</f>
        <v>4</v>
      </c>
      <c r="F39" s="105">
        <f>(N36+R34+S34+T34+U34+V34+W34)/F40</f>
        <v>5.2857142857142856</v>
      </c>
      <c r="G39" s="105">
        <f>(D36+H36+J34+M36+T36+Y36+AC36)/G40</f>
        <v>4.1428571428571432</v>
      </c>
      <c r="H39" s="106">
        <f>(C36+H34+I34+L36+S36+X36+AB36)/H40</f>
        <v>6.7142857142857144</v>
      </c>
      <c r="I39" s="106">
        <f>(C34+D34+E34+F34+G34+K36+R36)/I40</f>
        <v>5.7142857142857144</v>
      </c>
      <c r="J39" s="105">
        <f>(F36+P36+V36+X34+Y34+Z34+AA34)/J40</f>
        <v>1.8571428571428572</v>
      </c>
      <c r="K39" s="107">
        <f>(E36+I36+J36+O36+U36+Z36+AD36)/K40</f>
        <v>2.7142857142857144</v>
      </c>
      <c r="L39" s="52"/>
      <c r="M39" s="52"/>
      <c r="N39" s="108" t="s">
        <v>328</v>
      </c>
      <c r="O39" s="52"/>
      <c r="P39" s="151" t="s">
        <v>329</v>
      </c>
      <c r="Q39" s="109">
        <f>AVERAGE(D39:K39)*0.75</f>
        <v>3.375</v>
      </c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CB39" s="33" t="str">
        <f>CG33</f>
        <v>GBPJPY</v>
      </c>
      <c r="CC39" s="34">
        <f>CM33</f>
        <v>0.7866407263294467</v>
      </c>
      <c r="CE39" s="1"/>
      <c r="CF39" s="2">
        <f>[1]!NZDCAD</f>
        <v>42412.999305555553</v>
      </c>
      <c r="CG39" s="1" t="s">
        <v>24</v>
      </c>
      <c r="CH39" s="1"/>
      <c r="CI39" s="3">
        <f>[2]!NZDCAD</f>
        <v>0.93794</v>
      </c>
      <c r="CJ39" s="3">
        <f>[3]!NZDCAD</f>
        <v>0.91540999999999995</v>
      </c>
      <c r="CK39" s="3">
        <f>[4]!NZDCAD</f>
        <v>0.91671999999999998</v>
      </c>
      <c r="CL39" s="3">
        <f>[5]!NZDCAD</f>
        <v>0.92042000000000002</v>
      </c>
      <c r="CM39" s="4">
        <f t="shared" si="3"/>
        <v>5.8144695960942322E-2</v>
      </c>
      <c r="CN39" s="4">
        <f t="shared" si="14"/>
        <v>0.7776298268974674</v>
      </c>
      <c r="CO39" s="1">
        <v>10000</v>
      </c>
      <c r="CP39" s="6">
        <f t="shared" si="7"/>
        <v>0.94185530403905771</v>
      </c>
      <c r="CQ39" s="1">
        <f t="shared" si="8"/>
        <v>37.000000000000369</v>
      </c>
      <c r="CR39" s="4" t="s">
        <v>37</v>
      </c>
      <c r="CS39" s="6">
        <f t="shared" si="9"/>
        <v>5.8144695960942322E-2</v>
      </c>
      <c r="CT39" s="7">
        <f>LOOKUP(100*CM39,CV21:CV42,CW21:CW42)</f>
        <v>1</v>
      </c>
      <c r="CU39" s="7">
        <f t="shared" si="10"/>
        <v>8</v>
      </c>
      <c r="CV39" s="1">
        <v>93.5</v>
      </c>
      <c r="CW39" s="1">
        <v>8.5</v>
      </c>
      <c r="CX39" s="1"/>
      <c r="CY39" s="1"/>
      <c r="CZ39" s="9" t="e">
        <f>[6]Input!T41</f>
        <v>#REF!</v>
      </c>
      <c r="DA39" s="10" t="e">
        <f>[6]Input!U41</f>
        <v>#REF!</v>
      </c>
      <c r="DB39" s="10" t="e">
        <f>[6]Input!V41</f>
        <v>#REF!</v>
      </c>
      <c r="DC39" s="11"/>
      <c r="DD39" s="1" t="e">
        <f t="shared" si="11"/>
        <v>#REF!</v>
      </c>
      <c r="DE39" s="1" t="e">
        <f t="shared" si="12"/>
        <v>#REF!</v>
      </c>
      <c r="DF39" s="1" t="e">
        <f t="shared" si="13"/>
        <v>#REF!</v>
      </c>
      <c r="DG39" s="1">
        <f t="shared" si="4"/>
        <v>225.30000000000049</v>
      </c>
      <c r="DH39" s="1" t="e">
        <f t="shared" si="5"/>
        <v>#REF!</v>
      </c>
      <c r="DI39" s="1" t="e">
        <f t="shared" si="6"/>
        <v>#REF!</v>
      </c>
      <c r="DJ39" s="1"/>
      <c r="DK39" s="1"/>
      <c r="DL39" s="1" t="e">
        <f t="shared" ref="DL39:DQ39" si="24">SUM(DL32:DL38)</f>
        <v>#REF!</v>
      </c>
      <c r="DM39" s="1" t="e">
        <f t="shared" si="24"/>
        <v>#REF!</v>
      </c>
      <c r="DN39" s="8" t="e">
        <f t="shared" si="24"/>
        <v>#REF!</v>
      </c>
      <c r="DO39" s="8">
        <f t="shared" si="24"/>
        <v>1622.1000000000001</v>
      </c>
      <c r="DP39" s="8" t="e">
        <f t="shared" si="24"/>
        <v>#REF!</v>
      </c>
      <c r="DQ39" s="8" t="e">
        <f t="shared" si="24"/>
        <v>#REF!</v>
      </c>
      <c r="DR39" s="1"/>
    </row>
    <row r="40" spans="2:122" ht="16.5" thickBot="1" x14ac:dyDescent="0.3">
      <c r="B40" s="110"/>
      <c r="C40" s="111" t="s">
        <v>330</v>
      </c>
      <c r="D40" s="112">
        <f>COUNTIF($C$33:$AD$36,"=USD")</f>
        <v>7</v>
      </c>
      <c r="E40" s="112">
        <f>COUNTIF($C$33:$AD$36,"=EUR")</f>
        <v>7</v>
      </c>
      <c r="F40" s="112">
        <v>7</v>
      </c>
      <c r="G40" s="112">
        <f>COUNTIF($C$33:$AD$36,"=CHF")</f>
        <v>7</v>
      </c>
      <c r="H40" s="112">
        <f>COUNTIF($C$33:$AD$36,"=CAD")</f>
        <v>7</v>
      </c>
      <c r="I40" s="112">
        <f>COUNTIF($C$33:$AD$36,"=AUD")</f>
        <v>7</v>
      </c>
      <c r="J40" s="112">
        <v>7</v>
      </c>
      <c r="K40" s="113">
        <f>COUNTIF($C$33:$AD$36,"=JPY")</f>
        <v>7</v>
      </c>
      <c r="L40" s="52"/>
      <c r="M40" s="52"/>
      <c r="N40" s="114" t="s">
        <v>331</v>
      </c>
      <c r="O40" s="52"/>
      <c r="P40" s="152" t="s">
        <v>332</v>
      </c>
      <c r="Q40" s="109">
        <f>AVERAGE(D39:K39)*0.75*-1</f>
        <v>-3.375</v>
      </c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CB40" s="33" t="str">
        <f>CG29</f>
        <v>GBPNZD</v>
      </c>
      <c r="CC40" s="34">
        <f>CM29</f>
        <v>0.85343709468222984</v>
      </c>
      <c r="CE40" s="1"/>
      <c r="CF40" s="2">
        <f>[1]!NZDCHF</f>
        <v>42412.999305555553</v>
      </c>
      <c r="CG40" s="1" t="s">
        <v>25</v>
      </c>
      <c r="CH40" s="1"/>
      <c r="CI40" s="3">
        <f>[2]!NZDCHF</f>
        <v>0.65510000000000002</v>
      </c>
      <c r="CJ40" s="3">
        <f>[3]!NZDCHF</f>
        <v>0.64502000000000004</v>
      </c>
      <c r="CK40" s="3">
        <f>[4]!NZDCHF</f>
        <v>0.64649000000000001</v>
      </c>
      <c r="CL40" s="3">
        <f>[5]!NZDCHF</f>
        <v>0.64834999999999998</v>
      </c>
      <c r="CM40" s="4">
        <f t="shared" si="3"/>
        <v>0.14583333333333082</v>
      </c>
      <c r="CN40" s="4">
        <f t="shared" si="14"/>
        <v>0.66964285714286198</v>
      </c>
      <c r="CO40" s="1">
        <v>10000</v>
      </c>
      <c r="CP40" s="6">
        <f t="shared" si="7"/>
        <v>0.85416666666666918</v>
      </c>
      <c r="CQ40" s="1">
        <f t="shared" si="8"/>
        <v>18.599999999999728</v>
      </c>
      <c r="CR40" s="4" t="s">
        <v>37</v>
      </c>
      <c r="CS40" s="6">
        <f t="shared" si="9"/>
        <v>0.14583333333333082</v>
      </c>
      <c r="CT40" s="7">
        <f>LOOKUP(100*CM40,CV21:CV42,CW21:CW42)</f>
        <v>2</v>
      </c>
      <c r="CU40" s="7">
        <f t="shared" si="10"/>
        <v>7</v>
      </c>
      <c r="CV40" s="1">
        <v>97</v>
      </c>
      <c r="CW40" s="1">
        <v>9</v>
      </c>
      <c r="CX40" s="1"/>
      <c r="CY40" s="1"/>
      <c r="CZ40" s="9" t="e">
        <f>[6]Input!T42</f>
        <v>#REF!</v>
      </c>
      <c r="DA40" s="10" t="e">
        <f>[6]Input!U42</f>
        <v>#REF!</v>
      </c>
      <c r="DB40" s="10" t="e">
        <f>[6]Input!V42</f>
        <v>#REF!</v>
      </c>
      <c r="DC40" s="11"/>
      <c r="DD40" s="1" t="e">
        <f t="shared" si="11"/>
        <v>#REF!</v>
      </c>
      <c r="DE40" s="1" t="e">
        <f t="shared" si="12"/>
        <v>#REF!</v>
      </c>
      <c r="DF40" s="1" t="e">
        <f t="shared" si="13"/>
        <v>#REF!</v>
      </c>
      <c r="DG40" s="1">
        <f t="shared" si="4"/>
        <v>100.79999999999978</v>
      </c>
      <c r="DH40" s="1" t="e">
        <f t="shared" si="5"/>
        <v>#REF!</v>
      </c>
      <c r="DI40" s="1" t="e">
        <f t="shared" si="6"/>
        <v>#REF!</v>
      </c>
      <c r="DJ40" s="1"/>
      <c r="DK40" s="1" t="s">
        <v>60</v>
      </c>
      <c r="DL40" s="1"/>
      <c r="DM40" s="1"/>
      <c r="DN40" s="8" t="e">
        <f>SUM(DP39+DN39)</f>
        <v>#REF!</v>
      </c>
      <c r="DO40" s="8"/>
      <c r="DP40" s="8"/>
      <c r="DQ40" s="8"/>
      <c r="DR40" s="1"/>
    </row>
    <row r="41" spans="2:122" ht="15.75" thickBot="1" x14ac:dyDescent="0.3">
      <c r="B41" s="51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115" t="s">
        <v>333</v>
      </c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CE41" s="1"/>
      <c r="CF41" s="2">
        <f>[1]!NZDUSD</f>
        <v>42412.999305555553</v>
      </c>
      <c r="CG41" s="1" t="s">
        <v>26</v>
      </c>
      <c r="CH41" s="1"/>
      <c r="CI41" s="3">
        <f>[2]!NZDUSD</f>
        <v>0.67383000000000004</v>
      </c>
      <c r="CJ41" s="3">
        <f>[3]!NZDUSD</f>
        <v>0.66122999999999998</v>
      </c>
      <c r="CK41" s="3">
        <f>[4]!NZDUSD</f>
        <v>0.66217000000000004</v>
      </c>
      <c r="CL41" s="3">
        <f>[5]!NZDUSD</f>
        <v>0.66330999999999996</v>
      </c>
      <c r="CM41" s="4">
        <f>(CK41-CJ41)/(CI41-CJ41)</f>
        <v>7.460317460317839E-2</v>
      </c>
      <c r="CN41" s="4">
        <f t="shared" si="14"/>
        <v>0.83492063492063795</v>
      </c>
      <c r="CO41" s="1">
        <v>10000</v>
      </c>
      <c r="CP41" s="6">
        <f t="shared" si="7"/>
        <v>0.92539682539682167</v>
      </c>
      <c r="CQ41" s="1">
        <f t="shared" si="8"/>
        <v>11.399999999999189</v>
      </c>
      <c r="CR41" s="4" t="s">
        <v>37</v>
      </c>
      <c r="CS41" s="6">
        <f t="shared" si="9"/>
        <v>7.460317460317839E-2</v>
      </c>
      <c r="CT41" s="7">
        <f>LOOKUP(100*CM41,CV21:CV42,CW21:CW42)</f>
        <v>1.5</v>
      </c>
      <c r="CU41" s="7">
        <f t="shared" si="10"/>
        <v>7.5</v>
      </c>
      <c r="CV41" s="1">
        <v>100</v>
      </c>
      <c r="CW41" s="1">
        <v>9</v>
      </c>
      <c r="CX41" s="1"/>
      <c r="CY41" s="1"/>
      <c r="CZ41" s="9" t="e">
        <f>[6]Input!T43</f>
        <v>#REF!</v>
      </c>
      <c r="DA41" s="10" t="e">
        <f>[6]Input!U43</f>
        <v>#REF!</v>
      </c>
      <c r="DB41" s="10" t="e">
        <f>[6]Input!V43</f>
        <v>#REF!</v>
      </c>
      <c r="DC41" s="11"/>
      <c r="DD41" s="1" t="e">
        <f t="shared" si="11"/>
        <v>#REF!</v>
      </c>
      <c r="DE41" s="1" t="e">
        <f t="shared" si="12"/>
        <v>#REF!</v>
      </c>
      <c r="DF41" s="1" t="e">
        <f t="shared" si="13"/>
        <v>#REF!</v>
      </c>
      <c r="DG41" s="1">
        <f t="shared" si="4"/>
        <v>126.00000000000055</v>
      </c>
      <c r="DH41" s="1" t="e">
        <f t="shared" si="5"/>
        <v>#REF!</v>
      </c>
      <c r="DI41" s="1" t="e">
        <f t="shared" si="6"/>
        <v>#REF!</v>
      </c>
      <c r="DJ41" s="1"/>
      <c r="DK41" s="1" t="s">
        <v>61</v>
      </c>
      <c r="DL41" s="1"/>
      <c r="DM41" s="1"/>
      <c r="DN41" s="8" t="e">
        <f>SUM(DQ39-DN39)*-1</f>
        <v>#REF!</v>
      </c>
      <c r="DO41" s="8"/>
      <c r="DP41" s="8"/>
      <c r="DQ41" s="8"/>
      <c r="DR41" s="1"/>
    </row>
    <row r="42" spans="2:122" ht="16.5" thickBot="1" x14ac:dyDescent="0.3">
      <c r="B42" s="116" t="s">
        <v>334</v>
      </c>
      <c r="C42" s="116" t="s">
        <v>40</v>
      </c>
      <c r="D42" s="117" t="s">
        <v>320</v>
      </c>
      <c r="E42" s="118" t="s">
        <v>335</v>
      </c>
      <c r="F42" s="119" t="s">
        <v>336</v>
      </c>
      <c r="G42" s="120" t="s">
        <v>337</v>
      </c>
      <c r="H42" s="121" t="s">
        <v>338</v>
      </c>
      <c r="I42" s="122" t="s">
        <v>339</v>
      </c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CE42" s="1"/>
      <c r="CF42" s="2">
        <f>[1]!NZDJPY</f>
        <v>42412.999305555553</v>
      </c>
      <c r="CG42" s="1" t="s">
        <v>27</v>
      </c>
      <c r="CH42" s="1"/>
      <c r="CI42" s="3">
        <f>[2]!NZDJPY</f>
        <v>75.878</v>
      </c>
      <c r="CJ42" s="3">
        <f>[3]!NZDJPY</f>
        <v>74.506</v>
      </c>
      <c r="CK42" s="3">
        <f>[4]!NZDJPY</f>
        <v>74.956999999999994</v>
      </c>
      <c r="CL42" s="3">
        <f>[5]!NZDJPY</f>
        <v>75.135999999999996</v>
      </c>
      <c r="CM42" s="4">
        <f t="shared" si="3"/>
        <v>0.32871720116617598</v>
      </c>
      <c r="CN42" s="4">
        <f t="shared" si="14"/>
        <v>0.54081632653061551</v>
      </c>
      <c r="CO42" s="1">
        <v>100</v>
      </c>
      <c r="CP42" s="6">
        <f t="shared" si="7"/>
        <v>0.67128279883382402</v>
      </c>
      <c r="CQ42" s="1">
        <f t="shared" si="8"/>
        <v>17.900000000000205</v>
      </c>
      <c r="CR42" s="4" t="s">
        <v>37</v>
      </c>
      <c r="CS42" s="6">
        <f t="shared" si="9"/>
        <v>0.32871720116617598</v>
      </c>
      <c r="CT42" s="7">
        <f>LOOKUP(100*CM42,CV21:CV42,CW21:CW42)</f>
        <v>3.5</v>
      </c>
      <c r="CU42" s="7">
        <f t="shared" si="10"/>
        <v>5.5</v>
      </c>
      <c r="CV42" s="1">
        <v>250</v>
      </c>
      <c r="CW42" s="1">
        <v>9</v>
      </c>
      <c r="CX42" s="1"/>
      <c r="CY42" s="1"/>
      <c r="CZ42" s="9" t="e">
        <f>[6]Input!T44</f>
        <v>#REF!</v>
      </c>
      <c r="DA42" s="10" t="e">
        <f>[6]Input!U44</f>
        <v>#REF!</v>
      </c>
      <c r="DB42" s="10" t="e">
        <f>[6]Input!V44</f>
        <v>#REF!</v>
      </c>
      <c r="DC42" s="11"/>
      <c r="DD42" s="1" t="e">
        <f t="shared" si="11"/>
        <v>#REF!</v>
      </c>
      <c r="DE42" s="1" t="e">
        <f t="shared" si="12"/>
        <v>#REF!</v>
      </c>
      <c r="DF42" s="1" t="e">
        <f t="shared" si="13"/>
        <v>#REF!</v>
      </c>
      <c r="DG42" s="1">
        <f t="shared" si="4"/>
        <v>137.19999999999999</v>
      </c>
      <c r="DH42" s="1" t="e">
        <f t="shared" si="5"/>
        <v>#REF!</v>
      </c>
      <c r="DI42" s="1" t="e">
        <f t="shared" si="6"/>
        <v>#REF!</v>
      </c>
      <c r="DJ42" s="1"/>
      <c r="DK42" s="1"/>
      <c r="DL42" s="1"/>
      <c r="DM42" s="1"/>
      <c r="DN42" s="8"/>
      <c r="DO42" s="8"/>
      <c r="DP42" s="8"/>
      <c r="DQ42" s="8"/>
      <c r="DR42" s="1"/>
    </row>
    <row r="43" spans="2:122" ht="15.75" x14ac:dyDescent="0.25">
      <c r="B43" s="123" t="s">
        <v>46</v>
      </c>
      <c r="C43" s="123">
        <f>$C$28</f>
        <v>21.099999999999454</v>
      </c>
      <c r="D43" s="124" t="s">
        <v>20</v>
      </c>
      <c r="E43" s="125" t="str">
        <f>IF(I43&gt;=$Q$39,$P$39,IF(I43&lt;=$Q$40,$P$40,"WAIT"))</f>
        <v>WAIT</v>
      </c>
      <c r="F43" s="126">
        <f>C31</f>
        <v>0.20698689956332572</v>
      </c>
      <c r="G43" s="127">
        <f t="shared" ref="G43:G70" si="25">HLOOKUP(LEFT(D43,3),$D$38:$K$39,2,FALSE)</f>
        <v>5.7142857142857144</v>
      </c>
      <c r="H43" s="128">
        <f t="shared" ref="H43:H70" si="26">HLOOKUP(RIGHT(D43,3),$D$38:$K$39,2,FALSE)</f>
        <v>6.7142857142857144</v>
      </c>
      <c r="I43" s="129">
        <f t="shared" ref="I43:I70" si="27">+G43-H43</f>
        <v>-1</v>
      </c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CE43" s="1"/>
      <c r="CF43" s="2">
        <f>[1]!CADCHF</f>
        <v>42412.999305555553</v>
      </c>
      <c r="CG43" s="1" t="s">
        <v>28</v>
      </c>
      <c r="CH43" s="1"/>
      <c r="CI43" s="3">
        <f>[2]!CADCHF</f>
        <v>0.70765999999999996</v>
      </c>
      <c r="CJ43" s="3">
        <f>[3]!CADCHF</f>
        <v>0.69723000000000002</v>
      </c>
      <c r="CK43" s="3">
        <f>[4]!CADCHF</f>
        <v>0.70443999999999996</v>
      </c>
      <c r="CL43" s="3">
        <f>[5]!CADCHF</f>
        <v>0.70652000000000004</v>
      </c>
      <c r="CM43" s="4">
        <f t="shared" si="3"/>
        <v>0.69127516778523301</v>
      </c>
      <c r="CN43" s="4">
        <f t="shared" si="14"/>
        <v>0.10930009587726994</v>
      </c>
      <c r="CO43" s="1">
        <v>10000</v>
      </c>
      <c r="CP43" s="6">
        <f t="shared" si="7"/>
        <v>0.30872483221476699</v>
      </c>
      <c r="CQ43" s="1">
        <f t="shared" si="8"/>
        <v>20.800000000000818</v>
      </c>
      <c r="CR43" s="4" t="s">
        <v>37</v>
      </c>
      <c r="CS43" s="6">
        <f t="shared" si="9"/>
        <v>0.69127516778523301</v>
      </c>
      <c r="CT43" s="7">
        <f>LOOKUP(100*CM43,CV21:CV42,CW21:CW42)</f>
        <v>6.5</v>
      </c>
      <c r="CU43" s="7">
        <f t="shared" si="10"/>
        <v>2.5</v>
      </c>
      <c r="CV43" s="1"/>
      <c r="CW43" s="1" t="s">
        <v>43</v>
      </c>
      <c r="CX43" s="1" t="s">
        <v>62</v>
      </c>
      <c r="CY43" s="1"/>
      <c r="CZ43" s="9" t="e">
        <f>[6]Input!T45</f>
        <v>#REF!</v>
      </c>
      <c r="DA43" s="10" t="e">
        <f>[6]Input!U45</f>
        <v>#REF!</v>
      </c>
      <c r="DB43" s="10" t="e">
        <f>[6]Input!V45</f>
        <v>#REF!</v>
      </c>
      <c r="DC43" s="11"/>
      <c r="DD43" s="1" t="e">
        <f t="shared" si="11"/>
        <v>#REF!</v>
      </c>
      <c r="DE43" s="1" t="e">
        <f t="shared" si="12"/>
        <v>#REF!</v>
      </c>
      <c r="DF43" s="1" t="e">
        <f t="shared" si="13"/>
        <v>#REF!</v>
      </c>
      <c r="DG43" s="1">
        <f t="shared" si="4"/>
        <v>104.29999999999939</v>
      </c>
      <c r="DH43" s="1" t="e">
        <f t="shared" si="5"/>
        <v>#REF!</v>
      </c>
      <c r="DI43" s="1" t="e">
        <f t="shared" si="6"/>
        <v>#REF!</v>
      </c>
      <c r="DJ43" s="1"/>
      <c r="DK43" s="5" t="s">
        <v>46</v>
      </c>
      <c r="DL43" s="1" t="s">
        <v>54</v>
      </c>
      <c r="DM43" s="1" t="s">
        <v>55</v>
      </c>
      <c r="DN43" s="1" t="s">
        <v>56</v>
      </c>
      <c r="DO43" s="8" t="s">
        <v>57</v>
      </c>
      <c r="DP43" s="8" t="s">
        <v>58</v>
      </c>
      <c r="DQ43" s="8" t="s">
        <v>59</v>
      </c>
      <c r="DR43" s="1"/>
    </row>
    <row r="44" spans="2:122" ht="15.75" x14ac:dyDescent="0.25">
      <c r="B44" s="130" t="s">
        <v>46</v>
      </c>
      <c r="C44" s="130">
        <f>$D$28</f>
        <v>24.699999999999722</v>
      </c>
      <c r="D44" s="131" t="s">
        <v>21</v>
      </c>
      <c r="E44" s="132" t="str">
        <f t="shared" ref="E44:E70" si="28">IF(I44&gt;=$Q$39,$P$39,IF(I44&lt;=$Q$40,$P$40,"WAIT"))</f>
        <v>WAIT</v>
      </c>
      <c r="F44" s="133">
        <f>D31</f>
        <v>0.75503355704698016</v>
      </c>
      <c r="G44" s="127">
        <f t="shared" si="25"/>
        <v>5.7142857142857144</v>
      </c>
      <c r="H44" s="128">
        <f t="shared" si="26"/>
        <v>4.1428571428571432</v>
      </c>
      <c r="I44" s="130">
        <f t="shared" si="27"/>
        <v>1.5714285714285712</v>
      </c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CE44" s="1"/>
      <c r="CF44" s="2">
        <f>[1]!CADJPY</f>
        <v>42412.999305555553</v>
      </c>
      <c r="CG44" s="1" t="s">
        <v>29</v>
      </c>
      <c r="CH44" s="1"/>
      <c r="CI44" s="3">
        <f>[2]!CADJPY</f>
        <v>82.037999999999997</v>
      </c>
      <c r="CJ44" s="3">
        <f>[3]!CADJPY</f>
        <v>80.275000000000006</v>
      </c>
      <c r="CK44" s="3">
        <f>[4]!CADJPY</f>
        <v>81.704999999999998</v>
      </c>
      <c r="CL44" s="3">
        <f>[5]!CADJPY</f>
        <v>81.81</v>
      </c>
      <c r="CM44" s="4">
        <f t="shared" si="3"/>
        <v>0.81111741349971633</v>
      </c>
      <c r="CN44" s="4">
        <f t="shared" si="14"/>
        <v>0.12932501418037187</v>
      </c>
      <c r="CO44" s="1">
        <v>100</v>
      </c>
      <c r="CP44" s="6">
        <f t="shared" si="7"/>
        <v>0.18888258650028367</v>
      </c>
      <c r="CQ44" s="1">
        <f t="shared" si="8"/>
        <v>10.500000000000398</v>
      </c>
      <c r="CR44" s="4" t="s">
        <v>37</v>
      </c>
      <c r="CS44" s="6">
        <f t="shared" si="9"/>
        <v>0.81111741349971633</v>
      </c>
      <c r="CT44" s="7">
        <f>LOOKUP(100*CM44,CV21:CV42,CW21:CW42)</f>
        <v>7</v>
      </c>
      <c r="CU44" s="7">
        <f t="shared" si="10"/>
        <v>2</v>
      </c>
      <c r="CV44" s="1" t="s">
        <v>44</v>
      </c>
      <c r="CW44" s="3">
        <f>(CT21+CT22+CT23+CT24+CT25+CT26+CT27)/7</f>
        <v>4.1428571428571432</v>
      </c>
      <c r="CX44" s="4">
        <f>(CS21+CS22+CS23+CS24+CS25+CS26+CS27)/7</f>
        <v>0.41063694243944848</v>
      </c>
      <c r="CY44" s="4">
        <f>CX44*7/28</f>
        <v>0.10265923560986212</v>
      </c>
      <c r="CZ44" s="9" t="e">
        <f>[6]Input!T46</f>
        <v>#REF!</v>
      </c>
      <c r="DA44" s="10" t="e">
        <f>[6]Input!U46</f>
        <v>#REF!</v>
      </c>
      <c r="DB44" s="10" t="e">
        <f>[6]Input!V46</f>
        <v>#REF!</v>
      </c>
      <c r="DC44" s="11"/>
      <c r="DD44" s="1" t="e">
        <f t="shared" si="11"/>
        <v>#REF!</v>
      </c>
      <c r="DE44" s="1" t="e">
        <f t="shared" si="12"/>
        <v>#REF!</v>
      </c>
      <c r="DF44" s="1" t="e">
        <f t="shared" si="13"/>
        <v>#REF!</v>
      </c>
      <c r="DG44" s="1">
        <f t="shared" si="4"/>
        <v>176.2999999999991</v>
      </c>
      <c r="DH44" s="1" t="e">
        <f t="shared" si="5"/>
        <v>#REF!</v>
      </c>
      <c r="DI44" s="1" t="e">
        <f t="shared" si="6"/>
        <v>#REF!</v>
      </c>
      <c r="DJ44" s="1"/>
      <c r="DK44" s="1" t="s">
        <v>19</v>
      </c>
      <c r="DL44" s="1" t="e">
        <f t="shared" ref="DL44:DQ48" si="29">DD34</f>
        <v>#REF!</v>
      </c>
      <c r="DM44" s="1" t="e">
        <f t="shared" si="29"/>
        <v>#REF!</v>
      </c>
      <c r="DN44" s="8" t="e">
        <f t="shared" si="29"/>
        <v>#REF!</v>
      </c>
      <c r="DO44" s="8">
        <f t="shared" si="29"/>
        <v>168.69999999999942</v>
      </c>
      <c r="DP44" s="8" t="e">
        <f t="shared" si="29"/>
        <v>#REF!</v>
      </c>
      <c r="DQ44" s="8" t="e">
        <f t="shared" si="29"/>
        <v>#REF!</v>
      </c>
      <c r="DR44" s="1"/>
    </row>
    <row r="45" spans="2:122" ht="15.75" x14ac:dyDescent="0.25">
      <c r="B45" s="134" t="s">
        <v>46</v>
      </c>
      <c r="C45" s="134">
        <f>$E$28</f>
        <v>18.200000000000216</v>
      </c>
      <c r="D45" s="131" t="s">
        <v>23</v>
      </c>
      <c r="E45" s="132" t="str">
        <f t="shared" si="28"/>
        <v>WAIT</v>
      </c>
      <c r="F45" s="133">
        <f>E31</f>
        <v>0.80087527352297805</v>
      </c>
      <c r="G45" s="127">
        <f t="shared" si="25"/>
        <v>5.7142857142857144</v>
      </c>
      <c r="H45" s="128">
        <f t="shared" si="26"/>
        <v>2.7142857142857144</v>
      </c>
      <c r="I45" s="129">
        <f t="shared" si="27"/>
        <v>3</v>
      </c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CE45" s="1"/>
      <c r="CF45" s="2">
        <f>[1]!CHFJPY</f>
        <v>42412.999305555553</v>
      </c>
      <c r="CG45" s="1" t="s">
        <v>30</v>
      </c>
      <c r="CH45" s="1"/>
      <c r="CI45" s="3">
        <f>[2]!CHFJPY</f>
        <v>116.244</v>
      </c>
      <c r="CJ45" s="3">
        <f>[3]!CHFJPY</f>
        <v>114.765</v>
      </c>
      <c r="CK45" s="3">
        <f>[4]!CHFJPY</f>
        <v>115.751</v>
      </c>
      <c r="CL45" s="3">
        <f>[5]!CHFJPY</f>
        <v>115.96</v>
      </c>
      <c r="CM45" s="4">
        <f t="shared" si="3"/>
        <v>0.66666666666666985</v>
      </c>
      <c r="CN45" s="4">
        <f t="shared" si="14"/>
        <v>0.19202163624070737</v>
      </c>
      <c r="CO45" s="1">
        <v>100</v>
      </c>
      <c r="CP45" s="6">
        <f t="shared" si="7"/>
        <v>0.33333333333333015</v>
      </c>
      <c r="CQ45" s="1">
        <f t="shared" si="8"/>
        <v>20.899999999998897</v>
      </c>
      <c r="CR45" s="4" t="s">
        <v>37</v>
      </c>
      <c r="CS45" s="6">
        <f t="shared" si="9"/>
        <v>0.66666666666666985</v>
      </c>
      <c r="CT45" s="7">
        <f>LOOKUP(100*CM45,CV21:CV42,CW21:CW42)</f>
        <v>6</v>
      </c>
      <c r="CU45" s="7">
        <f t="shared" si="10"/>
        <v>3</v>
      </c>
      <c r="CV45" s="1" t="s">
        <v>45</v>
      </c>
      <c r="CW45" s="3">
        <f>(CU21+CT28+CT29+CT30+CT31+CT32+CT33)/7</f>
        <v>5.5</v>
      </c>
      <c r="CX45" s="4">
        <f>(CP21+CM28+CM29+CM30+CM31+CM32+CM33)/7</f>
        <v>0.61692829997703169</v>
      </c>
      <c r="CY45" s="4">
        <f t="shared" ref="CY45:CY51" si="30">CX45*7/28</f>
        <v>0.15423207499425792</v>
      </c>
      <c r="CZ45" s="9" t="e">
        <f>[6]Input!T47</f>
        <v>#REF!</v>
      </c>
      <c r="DA45" s="10" t="e">
        <f>[6]Input!U47</f>
        <v>#REF!</v>
      </c>
      <c r="DB45" s="10" t="e">
        <f>[6]Input!V47</f>
        <v>#REF!</v>
      </c>
      <c r="DC45" s="11"/>
      <c r="DD45" s="1" t="e">
        <f t="shared" si="11"/>
        <v>#REF!</v>
      </c>
      <c r="DE45" s="1" t="e">
        <f t="shared" si="12"/>
        <v>#REF!</v>
      </c>
      <c r="DF45" s="1" t="e">
        <f t="shared" si="13"/>
        <v>#REF!</v>
      </c>
      <c r="DG45" s="1">
        <f t="shared" si="4"/>
        <v>147.89999999999992</v>
      </c>
      <c r="DH45" s="1" t="e">
        <f t="shared" si="5"/>
        <v>#REF!</v>
      </c>
      <c r="DI45" s="1" t="e">
        <f t="shared" si="6"/>
        <v>#REF!</v>
      </c>
      <c r="DJ45" s="1"/>
      <c r="DK45" s="1" t="s">
        <v>20</v>
      </c>
      <c r="DL45" s="1" t="e">
        <f t="shared" si="29"/>
        <v>#REF!</v>
      </c>
      <c r="DM45" s="1" t="e">
        <f t="shared" si="29"/>
        <v>#REF!</v>
      </c>
      <c r="DN45" s="8" t="e">
        <f t="shared" si="29"/>
        <v>#REF!</v>
      </c>
      <c r="DO45" s="8">
        <f t="shared" si="29"/>
        <v>114.50000000000071</v>
      </c>
      <c r="DP45" s="8" t="e">
        <f t="shared" si="29"/>
        <v>#REF!</v>
      </c>
      <c r="DQ45" s="8" t="e">
        <f t="shared" si="29"/>
        <v>#REF!</v>
      </c>
      <c r="DR45" s="1"/>
    </row>
    <row r="46" spans="2:122" ht="15.75" x14ac:dyDescent="0.25">
      <c r="B46" s="130" t="s">
        <v>46</v>
      </c>
      <c r="C46" s="130">
        <f>$F$28</f>
        <v>21.500000000000963</v>
      </c>
      <c r="D46" s="131" t="s">
        <v>19</v>
      </c>
      <c r="E46" s="132" t="str">
        <f t="shared" si="28"/>
        <v>BUY</v>
      </c>
      <c r="F46" s="133">
        <f>F31</f>
        <v>0.83580320094843208</v>
      </c>
      <c r="G46" s="127">
        <f t="shared" si="25"/>
        <v>5.7142857142857144</v>
      </c>
      <c r="H46" s="128">
        <f t="shared" si="26"/>
        <v>1.8571428571428572</v>
      </c>
      <c r="I46" s="130">
        <f t="shared" si="27"/>
        <v>3.8571428571428572</v>
      </c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CE46" s="1"/>
      <c r="CF46" s="2">
        <f>[1]!USDCAD</f>
        <v>42412.999305555553</v>
      </c>
      <c r="CG46" s="1" t="s">
        <v>31</v>
      </c>
      <c r="CH46" s="1"/>
      <c r="CI46" s="3">
        <f>[2]!USDCAD</f>
        <v>1.39642</v>
      </c>
      <c r="CJ46" s="3">
        <f>[3]!USDCAD</f>
        <v>1.3812199999999999</v>
      </c>
      <c r="CK46" s="3">
        <f>[4]!USDCAD</f>
        <v>1.38456</v>
      </c>
      <c r="CL46" s="3">
        <f>[5]!USDCAD</f>
        <v>1.3856299999999999</v>
      </c>
      <c r="CM46" s="4">
        <f t="shared" si="3"/>
        <v>0.21973684210526961</v>
      </c>
      <c r="CN46" s="4">
        <f t="shared" si="14"/>
        <v>0.70986842105263193</v>
      </c>
      <c r="CO46" s="1">
        <v>10000</v>
      </c>
      <c r="CP46" s="6">
        <f t="shared" si="7"/>
        <v>0.78026315789473033</v>
      </c>
      <c r="CQ46" s="1">
        <f t="shared" si="8"/>
        <v>10.699999999999044</v>
      </c>
      <c r="CR46" s="4" t="s">
        <v>37</v>
      </c>
      <c r="CS46" s="6">
        <f t="shared" si="9"/>
        <v>0.21973684210526961</v>
      </c>
      <c r="CT46" s="7">
        <f>LOOKUP(100*CM46,CV21:CV42,CW21:CW42)</f>
        <v>2.5</v>
      </c>
      <c r="CU46" s="7">
        <f t="shared" si="10"/>
        <v>6.5</v>
      </c>
      <c r="CV46" s="1" t="s">
        <v>46</v>
      </c>
      <c r="CW46" s="3">
        <f>(CU22+CU28+CT34+CT35+CT36+CT37+CT38)/7</f>
        <v>5.7857142857142856</v>
      </c>
      <c r="CX46" s="4">
        <f>(CP22+CP28+CM34+CM35+CM36+CM37+CM38)/7</f>
        <v>0.65103876766383018</v>
      </c>
      <c r="CY46" s="4">
        <f t="shared" si="30"/>
        <v>0.16275969191595754</v>
      </c>
      <c r="CZ46" s="9" t="e">
        <f>[6]Input!T48</f>
        <v>#REF!</v>
      </c>
      <c r="DA46" s="10" t="e">
        <f>[6]Input!U48</f>
        <v>#REF!</v>
      </c>
      <c r="DB46" s="10" t="e">
        <f>[6]Input!V48</f>
        <v>#REF!</v>
      </c>
      <c r="DC46" s="11"/>
      <c r="DD46" s="1" t="e">
        <f t="shared" si="11"/>
        <v>#REF!</v>
      </c>
      <c r="DE46" s="1" t="e">
        <f t="shared" si="12"/>
        <v>#REF!</v>
      </c>
      <c r="DF46" s="1" t="e">
        <f t="shared" si="13"/>
        <v>#REF!</v>
      </c>
      <c r="DG46" s="1">
        <f t="shared" si="4"/>
        <v>152.00000000000102</v>
      </c>
      <c r="DH46" s="1" t="e">
        <f t="shared" si="5"/>
        <v>#REF!</v>
      </c>
      <c r="DI46" s="1" t="e">
        <f t="shared" si="6"/>
        <v>#REF!</v>
      </c>
      <c r="DJ46" s="1"/>
      <c r="DK46" s="1" t="s">
        <v>21</v>
      </c>
      <c r="DL46" s="1" t="e">
        <f t="shared" si="29"/>
        <v>#REF!</v>
      </c>
      <c r="DM46" s="1" t="e">
        <f t="shared" si="29"/>
        <v>#REF!</v>
      </c>
      <c r="DN46" s="8" t="e">
        <f t="shared" si="29"/>
        <v>#REF!</v>
      </c>
      <c r="DO46" s="8">
        <f t="shared" si="29"/>
        <v>59.600000000000762</v>
      </c>
      <c r="DP46" s="8" t="e">
        <f t="shared" si="29"/>
        <v>#REF!</v>
      </c>
      <c r="DQ46" s="8" t="e">
        <f t="shared" si="29"/>
        <v>#REF!</v>
      </c>
      <c r="DR46" s="1"/>
    </row>
    <row r="47" spans="2:122" ht="15.75" x14ac:dyDescent="0.25">
      <c r="B47" s="134" t="s">
        <v>46</v>
      </c>
      <c r="C47" s="134">
        <f>$G$28</f>
        <v>9.700000000000264</v>
      </c>
      <c r="D47" s="131" t="s">
        <v>22</v>
      </c>
      <c r="E47" s="132" t="str">
        <f t="shared" si="28"/>
        <v>WAIT</v>
      </c>
      <c r="F47" s="133">
        <f>G31</f>
        <v>0.59814528593507621</v>
      </c>
      <c r="G47" s="127">
        <f t="shared" si="25"/>
        <v>5.7142857142857144</v>
      </c>
      <c r="H47" s="128">
        <f t="shared" si="26"/>
        <v>5.5714285714285712</v>
      </c>
      <c r="I47" s="129">
        <f t="shared" si="27"/>
        <v>0.14285714285714324</v>
      </c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CE47" s="1"/>
      <c r="CF47" s="2">
        <f>[1]!USDCHF</f>
        <v>42412.999305555553</v>
      </c>
      <c r="CG47" s="1" t="s">
        <v>32</v>
      </c>
      <c r="CH47" s="1"/>
      <c r="CI47" s="3">
        <f>[2]!USDCHF</f>
        <v>0.97897999999999996</v>
      </c>
      <c r="CJ47" s="3">
        <f>[3]!USDCHF</f>
        <v>0.97131000000000001</v>
      </c>
      <c r="CK47" s="3">
        <f>[4]!USDCHF</f>
        <v>0.97641</v>
      </c>
      <c r="CL47" s="3">
        <f>[5]!USDCHF</f>
        <v>0.97757000000000005</v>
      </c>
      <c r="CM47" s="4">
        <f t="shared" si="3"/>
        <v>0.66492829204693915</v>
      </c>
      <c r="CN47" s="4">
        <f t="shared" si="14"/>
        <v>0.18383311603649538</v>
      </c>
      <c r="CO47" s="1">
        <v>10000</v>
      </c>
      <c r="CP47" s="6">
        <f t="shared" si="7"/>
        <v>0.33507170795306085</v>
      </c>
      <c r="CQ47" s="1">
        <f t="shared" si="8"/>
        <v>11.600000000000499</v>
      </c>
      <c r="CR47" s="4" t="s">
        <v>37</v>
      </c>
      <c r="CS47" s="6">
        <f t="shared" si="9"/>
        <v>0.66492829204693915</v>
      </c>
      <c r="CT47" s="7">
        <f>LOOKUP(100*CM47,CV21:CV42,CW21:CW42)</f>
        <v>6</v>
      </c>
      <c r="CU47" s="7">
        <f t="shared" si="10"/>
        <v>3</v>
      </c>
      <c r="CV47" s="1" t="s">
        <v>47</v>
      </c>
      <c r="CW47" s="3">
        <f>(CU23+CU29+CU34+CT39+CT40+CT41+CT42)/7</f>
        <v>1.8571428571428572</v>
      </c>
      <c r="CX47" s="4">
        <f>(CP23+CP29+CP34+CM39+CM40+CM41+CM42)/7</f>
        <v>0.1661745638257123</v>
      </c>
      <c r="CY47" s="4">
        <f t="shared" si="30"/>
        <v>4.1543640956428075E-2</v>
      </c>
      <c r="CZ47" s="9" t="e">
        <f>[6]Input!T49</f>
        <v>#REF!</v>
      </c>
      <c r="DA47" s="10" t="e">
        <f>[6]Input!U49</f>
        <v>#REF!</v>
      </c>
      <c r="DB47" s="10" t="e">
        <f>[6]Input!V49</f>
        <v>#REF!</v>
      </c>
      <c r="DC47" s="11"/>
      <c r="DD47" s="1" t="e">
        <f t="shared" si="11"/>
        <v>#REF!</v>
      </c>
      <c r="DE47" s="1" t="e">
        <f t="shared" si="12"/>
        <v>#REF!</v>
      </c>
      <c r="DF47" s="1" t="e">
        <f t="shared" si="13"/>
        <v>#REF!</v>
      </c>
      <c r="DG47" s="1">
        <f t="shared" si="4"/>
        <v>76.699999999999548</v>
      </c>
      <c r="DH47" s="1" t="e">
        <f t="shared" si="5"/>
        <v>#REF!</v>
      </c>
      <c r="DI47" s="1" t="e">
        <f t="shared" si="6"/>
        <v>#REF!</v>
      </c>
      <c r="DJ47" s="1"/>
      <c r="DK47" s="1" t="s">
        <v>22</v>
      </c>
      <c r="DL47" s="1" t="e">
        <f t="shared" si="29"/>
        <v>#REF!</v>
      </c>
      <c r="DM47" s="1" t="e">
        <f t="shared" si="29"/>
        <v>#REF!</v>
      </c>
      <c r="DN47" s="8" t="e">
        <f t="shared" si="29"/>
        <v>#REF!</v>
      </c>
      <c r="DO47" s="8">
        <f t="shared" si="29"/>
        <v>64.699999999999761</v>
      </c>
      <c r="DP47" s="8" t="e">
        <f t="shared" si="29"/>
        <v>#REF!</v>
      </c>
      <c r="DQ47" s="8" t="e">
        <f t="shared" si="29"/>
        <v>#REF!</v>
      </c>
      <c r="DR47" s="1"/>
    </row>
    <row r="48" spans="2:122" ht="15.75" x14ac:dyDescent="0.25">
      <c r="B48" s="130" t="s">
        <v>48</v>
      </c>
      <c r="C48" s="130">
        <f>$H$28</f>
        <v>20.800000000000818</v>
      </c>
      <c r="D48" s="131" t="s">
        <v>28</v>
      </c>
      <c r="E48" s="132" t="str">
        <f t="shared" si="28"/>
        <v>WAIT</v>
      </c>
      <c r="F48" s="133">
        <f>H31</f>
        <v>0.69127516778523312</v>
      </c>
      <c r="G48" s="127">
        <f t="shared" si="25"/>
        <v>6.7142857142857144</v>
      </c>
      <c r="H48" s="128">
        <f t="shared" si="26"/>
        <v>4.1428571428571432</v>
      </c>
      <c r="I48" s="130">
        <f t="shared" si="27"/>
        <v>2.5714285714285712</v>
      </c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CE48" s="1"/>
      <c r="CF48" s="2">
        <f>[1]!USDJPY</f>
        <v>42412.999305555553</v>
      </c>
      <c r="CG48" s="1" t="s">
        <v>33</v>
      </c>
      <c r="CH48" s="1"/>
      <c r="CI48" s="3">
        <f>[2]!USDJPY</f>
        <v>113.533</v>
      </c>
      <c r="CJ48" s="3">
        <f>[3]!USDJPY</f>
        <v>111.651</v>
      </c>
      <c r="CK48" s="3">
        <f>[4]!USDJPY</f>
        <v>113.196</v>
      </c>
      <c r="CL48" s="3">
        <f>[5]!USDJPY</f>
        <v>113.28</v>
      </c>
      <c r="CM48" s="4">
        <f t="shared" si="3"/>
        <v>0.82093517534537597</v>
      </c>
      <c r="CN48" s="4">
        <f t="shared" si="14"/>
        <v>0.13443145589798058</v>
      </c>
      <c r="CO48" s="1">
        <v>100</v>
      </c>
      <c r="CP48" s="6">
        <f t="shared" si="7"/>
        <v>0.17906482465462403</v>
      </c>
      <c r="CQ48" s="1">
        <f t="shared" si="8"/>
        <v>8.4000000000003183</v>
      </c>
      <c r="CR48" s="4" t="s">
        <v>37</v>
      </c>
      <c r="CS48" s="6">
        <f t="shared" si="9"/>
        <v>0.82093517534537597</v>
      </c>
      <c r="CT48" s="7">
        <f>LOOKUP(100*CM48,CV21:CV42,CW21:CW42)</f>
        <v>7</v>
      </c>
      <c r="CU48" s="7">
        <f t="shared" si="10"/>
        <v>2</v>
      </c>
      <c r="CV48" s="1" t="s">
        <v>48</v>
      </c>
      <c r="CW48" s="3">
        <f>(CU24+CU30+CU35+CU39+CT43+CT44+CU46)/7</f>
        <v>6.6428571428571432</v>
      </c>
      <c r="CX48" s="4">
        <f>(CP24+CP30+CP35+CP39+CM43+CM44+CP46)/7</f>
        <v>0.77879386316056198</v>
      </c>
      <c r="CY48" s="4">
        <f t="shared" si="30"/>
        <v>0.1946984657901405</v>
      </c>
      <c r="CZ48" s="9" t="e">
        <f>[6]Input!T50</f>
        <v>#REF!</v>
      </c>
      <c r="DA48" s="10" t="e">
        <f>[6]Input!U50</f>
        <v>#REF!</v>
      </c>
      <c r="DB48" s="10" t="e">
        <f>[6]Input!V50</f>
        <v>#REF!</v>
      </c>
      <c r="DC48" s="11"/>
      <c r="DD48" s="1" t="e">
        <f t="shared" si="11"/>
        <v>#REF!</v>
      </c>
      <c r="DE48" s="1" t="e">
        <f t="shared" si="12"/>
        <v>#REF!</v>
      </c>
      <c r="DF48" s="1" t="e">
        <f t="shared" si="13"/>
        <v>#REF!</v>
      </c>
      <c r="DG48" s="1">
        <f t="shared" si="4"/>
        <v>188.2000000000005</v>
      </c>
      <c r="DH48" s="1" t="e">
        <f t="shared" si="5"/>
        <v>#REF!</v>
      </c>
      <c r="DI48" s="1" t="e">
        <f t="shared" si="6"/>
        <v>#REF!</v>
      </c>
      <c r="DJ48" s="1"/>
      <c r="DK48" s="1" t="s">
        <v>23</v>
      </c>
      <c r="DL48" s="1" t="e">
        <f t="shared" si="29"/>
        <v>#REF!</v>
      </c>
      <c r="DM48" s="1" t="e">
        <f t="shared" si="29"/>
        <v>#REF!</v>
      </c>
      <c r="DN48" s="8" t="e">
        <f t="shared" si="29"/>
        <v>#REF!</v>
      </c>
      <c r="DO48" s="8">
        <f t="shared" si="29"/>
        <v>137.09999999999951</v>
      </c>
      <c r="DP48" s="8" t="e">
        <f t="shared" si="29"/>
        <v>#REF!</v>
      </c>
      <c r="DQ48" s="8" t="e">
        <f t="shared" si="29"/>
        <v>#REF!</v>
      </c>
      <c r="DR48" s="1"/>
    </row>
    <row r="49" spans="2:122" ht="16.5" thickBot="1" x14ac:dyDescent="0.3">
      <c r="B49" s="129" t="s">
        <v>48</v>
      </c>
      <c r="C49" s="129">
        <f>$I$28</f>
        <v>10.500000000000398</v>
      </c>
      <c r="D49" s="131" t="s">
        <v>29</v>
      </c>
      <c r="E49" s="132" t="str">
        <f t="shared" si="28"/>
        <v>BUY</v>
      </c>
      <c r="F49" s="133">
        <f>I31</f>
        <v>0.81111741349971633</v>
      </c>
      <c r="G49" s="127">
        <f t="shared" si="25"/>
        <v>6.7142857142857144</v>
      </c>
      <c r="H49" s="128">
        <f t="shared" si="26"/>
        <v>2.7142857142857144</v>
      </c>
      <c r="I49" s="129">
        <f t="shared" si="27"/>
        <v>4</v>
      </c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CE49" s="1"/>
      <c r="CF49" s="2">
        <f>[1]!XAUUSD</f>
        <v>42412.999305555553</v>
      </c>
      <c r="CG49" s="1" t="s">
        <v>314</v>
      </c>
      <c r="CH49" s="1"/>
      <c r="CI49" s="3">
        <f>[2]!XAUUSD</f>
        <v>1247.96</v>
      </c>
      <c r="CJ49" s="3">
        <f>[3]!XAUUSD</f>
        <v>1232.44</v>
      </c>
      <c r="CK49" s="3">
        <f>[4]!XAUUSD</f>
        <v>1237.3699999999999</v>
      </c>
      <c r="CL49" s="3">
        <f>[5]!XAUUSD</f>
        <v>1238.3900000000001</v>
      </c>
      <c r="CM49" s="4">
        <f>(CK49-CJ49)/(CI49-CJ49)</f>
        <v>0.31765463917524756</v>
      </c>
      <c r="CN49" s="4"/>
      <c r="CO49" s="1"/>
      <c r="CP49" s="6"/>
      <c r="CQ49" s="1"/>
      <c r="CR49" s="4"/>
      <c r="CS49" s="6"/>
      <c r="CT49" s="7"/>
      <c r="CU49" s="7"/>
      <c r="CV49" s="1" t="s">
        <v>49</v>
      </c>
      <c r="CW49" s="3">
        <f>(CU25+CU31+CU36+CU40+CU43+CT45+CU47)/7</f>
        <v>4.0714285714285712</v>
      </c>
      <c r="CX49" s="4">
        <f>(CP25+CP31+CP36+CP40+CP43+CM45+CP47)/7</f>
        <v>0.47499279830418295</v>
      </c>
      <c r="CY49" s="4">
        <f t="shared" si="30"/>
        <v>0.11874819957604574</v>
      </c>
      <c r="CZ49" s="12"/>
      <c r="DA49" s="13"/>
      <c r="DB49" s="13"/>
      <c r="DC49" s="14"/>
      <c r="DD49" s="1"/>
      <c r="DE49" s="1"/>
      <c r="DF49" s="1"/>
      <c r="DG49" s="1"/>
      <c r="DH49" s="1"/>
      <c r="DI49" s="1"/>
      <c r="DJ49" s="1"/>
      <c r="DK49" s="1" t="s">
        <v>7</v>
      </c>
      <c r="DL49" s="1" t="e">
        <f t="shared" ref="DL49:DQ49" si="31">DL21</f>
        <v>#REF!</v>
      </c>
      <c r="DM49" s="1" t="e">
        <f t="shared" si="31"/>
        <v>#REF!</v>
      </c>
      <c r="DN49" s="8" t="e">
        <f t="shared" si="31"/>
        <v>#REF!</v>
      </c>
      <c r="DO49" s="8">
        <f t="shared" si="31"/>
        <v>162.89999999999915</v>
      </c>
      <c r="DP49" s="8" t="e">
        <f t="shared" si="31"/>
        <v>#REF!</v>
      </c>
      <c r="DQ49" s="8" t="e">
        <f t="shared" si="31"/>
        <v>#REF!</v>
      </c>
      <c r="DR49" s="1"/>
    </row>
    <row r="50" spans="2:122" ht="15.75" x14ac:dyDescent="0.25">
      <c r="B50" s="130" t="s">
        <v>49</v>
      </c>
      <c r="C50" s="135">
        <f>$J$28</f>
        <v>20.899999999998897</v>
      </c>
      <c r="D50" s="131" t="s">
        <v>30</v>
      </c>
      <c r="E50" s="132" t="str">
        <f t="shared" si="28"/>
        <v>WAIT</v>
      </c>
      <c r="F50" s="133">
        <f>J31</f>
        <v>0.66666666666666985</v>
      </c>
      <c r="G50" s="127">
        <f t="shared" si="25"/>
        <v>4.1428571428571432</v>
      </c>
      <c r="H50" s="128">
        <f t="shared" si="26"/>
        <v>2.7142857142857144</v>
      </c>
      <c r="I50" s="130">
        <f t="shared" si="27"/>
        <v>1.4285714285714288</v>
      </c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CE50" s="1"/>
      <c r="CF50" s="1" t="s">
        <v>50</v>
      </c>
      <c r="CG50" s="1"/>
      <c r="CH50" s="1"/>
      <c r="CI50" s="1"/>
      <c r="CJ50" s="1"/>
      <c r="CK50" s="1"/>
      <c r="CL50" s="1"/>
      <c r="CM50" s="1"/>
      <c r="CN50" s="1"/>
      <c r="CO50" s="1"/>
      <c r="CP50" s="6"/>
      <c r="CQ50" s="1"/>
      <c r="CR50" s="1"/>
      <c r="CS50" s="1"/>
      <c r="CT50" s="1"/>
      <c r="CU50" s="1"/>
      <c r="CV50" s="1" t="s">
        <v>51</v>
      </c>
      <c r="CW50" s="3">
        <f>(CU26+CU32+CU37+CU41+CT46+CT47+CT48)/7</f>
        <v>5.3571428571428568</v>
      </c>
      <c r="CX50" s="4">
        <f>(CP26+CP32+CP37+CP41+CM46+CM47+CM48)/7</f>
        <v>0.61593540038287209</v>
      </c>
      <c r="CY50" s="4">
        <f t="shared" si="30"/>
        <v>0.15398385009571802</v>
      </c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 t="s">
        <v>13</v>
      </c>
      <c r="DL50" s="1" t="e">
        <f t="shared" ref="DL50:DQ50" si="32">DL33</f>
        <v>#REF!</v>
      </c>
      <c r="DM50" s="1" t="e">
        <f t="shared" si="32"/>
        <v>#REF!</v>
      </c>
      <c r="DN50" s="8" t="e">
        <f t="shared" si="32"/>
        <v>#REF!</v>
      </c>
      <c r="DO50" s="8">
        <f t="shared" si="32"/>
        <v>207.6000000000011</v>
      </c>
      <c r="DP50" s="8" t="e">
        <f t="shared" si="32"/>
        <v>#REF!</v>
      </c>
      <c r="DQ50" s="8" t="e">
        <f t="shared" si="32"/>
        <v>#REF!</v>
      </c>
      <c r="DR50" s="1"/>
    </row>
    <row r="51" spans="2:122" ht="15.75" x14ac:dyDescent="0.25">
      <c r="B51" s="130" t="s">
        <v>44</v>
      </c>
      <c r="C51" s="129">
        <f>$K$28</f>
        <v>24.699999999999722</v>
      </c>
      <c r="D51" s="131" t="s">
        <v>7</v>
      </c>
      <c r="E51" s="132" t="str">
        <f t="shared" si="28"/>
        <v>WAIT</v>
      </c>
      <c r="F51" s="133">
        <f>K31</f>
        <v>0.17618170656844342</v>
      </c>
      <c r="G51" s="127">
        <f t="shared" si="25"/>
        <v>4</v>
      </c>
      <c r="H51" s="128">
        <f t="shared" si="26"/>
        <v>5.7142857142857144</v>
      </c>
      <c r="I51" s="129">
        <f t="shared" si="27"/>
        <v>-1.7142857142857144</v>
      </c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52"/>
      <c r="AH51" s="52"/>
      <c r="CE51" s="1"/>
      <c r="CF51" s="1" t="s">
        <v>52</v>
      </c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 t="s">
        <v>53</v>
      </c>
      <c r="CW51" s="3">
        <f>(CU27+CU33+CU38+CU42+CU44+CU45+CU48)/7</f>
        <v>2.6428571428571428</v>
      </c>
      <c r="CX51" s="4">
        <f>(CP27+CP33+CP38+CP42+CP44+CP45+CP48)/7</f>
        <v>0.28549936424636019</v>
      </c>
      <c r="CY51" s="4">
        <f t="shared" si="30"/>
        <v>7.1374841061590047E-2</v>
      </c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 t="e">
        <f t="shared" ref="DL51:DQ51" si="33">SUM(DL44:DL50)</f>
        <v>#REF!</v>
      </c>
      <c r="DM51" s="1" t="e">
        <f t="shared" si="33"/>
        <v>#REF!</v>
      </c>
      <c r="DN51" s="8" t="e">
        <f t="shared" si="33"/>
        <v>#REF!</v>
      </c>
      <c r="DO51" s="8">
        <f t="shared" si="33"/>
        <v>915.10000000000036</v>
      </c>
      <c r="DP51" s="8" t="e">
        <f t="shared" si="33"/>
        <v>#REF!</v>
      </c>
      <c r="DQ51" s="8" t="e">
        <f t="shared" si="33"/>
        <v>#REF!</v>
      </c>
      <c r="DR51" s="1"/>
    </row>
    <row r="52" spans="2:122" ht="15.75" x14ac:dyDescent="0.25">
      <c r="B52" s="130" t="s">
        <v>44</v>
      </c>
      <c r="C52" s="130">
        <f>$L$28</f>
        <v>14.600000000000168</v>
      </c>
      <c r="D52" s="131" t="s">
        <v>9</v>
      </c>
      <c r="E52" s="132" t="str">
        <f t="shared" si="28"/>
        <v>WAIT</v>
      </c>
      <c r="F52" s="133">
        <f>L31</f>
        <v>0.25290806754221212</v>
      </c>
      <c r="G52" s="127">
        <f t="shared" si="25"/>
        <v>4</v>
      </c>
      <c r="H52" s="128">
        <f t="shared" si="26"/>
        <v>6.7142857142857144</v>
      </c>
      <c r="I52" s="130">
        <f t="shared" si="27"/>
        <v>-2.7142857142857144</v>
      </c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 t="s">
        <v>63</v>
      </c>
      <c r="CW52" s="7">
        <f>CU49</f>
        <v>0</v>
      </c>
      <c r="CX52" s="4">
        <f>CP49</f>
        <v>0</v>
      </c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 t="s">
        <v>60</v>
      </c>
      <c r="DL52" s="1"/>
      <c r="DM52" s="1"/>
      <c r="DN52" s="8" t="e">
        <f>SUM(DP51+DN51)</f>
        <v>#REF!</v>
      </c>
      <c r="DO52" s="8"/>
      <c r="DP52" s="8"/>
      <c r="DQ52" s="8"/>
      <c r="DR52" s="1"/>
    </row>
    <row r="53" spans="2:122" ht="15.75" x14ac:dyDescent="0.25">
      <c r="B53" s="130" t="s">
        <v>44</v>
      </c>
      <c r="C53" s="134">
        <f>$M$28</f>
        <v>23.299999999999432</v>
      </c>
      <c r="D53" s="131" t="s">
        <v>10</v>
      </c>
      <c r="E53" s="132" t="str">
        <f t="shared" si="28"/>
        <v>WAIT</v>
      </c>
      <c r="F53" s="133">
        <f>M31</f>
        <v>0.42151675485010359</v>
      </c>
      <c r="G53" s="127">
        <f t="shared" si="25"/>
        <v>4</v>
      </c>
      <c r="H53" s="128">
        <f t="shared" si="26"/>
        <v>4.1428571428571432</v>
      </c>
      <c r="I53" s="129">
        <f t="shared" si="27"/>
        <v>-0.14285714285714324</v>
      </c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52"/>
      <c r="AH53" s="52"/>
      <c r="CE53" s="1"/>
      <c r="CF53" s="1" t="s">
        <v>64</v>
      </c>
      <c r="CG53" s="1" t="s">
        <v>65</v>
      </c>
      <c r="CH53" s="15" t="s">
        <v>66</v>
      </c>
      <c r="CI53" s="16" t="e">
        <f>[2]!'6AM1'</f>
        <v>#NAME?</v>
      </c>
      <c r="CJ53" s="16" t="e">
        <f>[3]!'6AM1'</f>
        <v>#NAME?</v>
      </c>
      <c r="CK53" s="16" t="e">
        <f>[4]!'6AM1'</f>
        <v>#NAME?</v>
      </c>
      <c r="CL53" s="16" t="e">
        <f>[5]!'6AM1'</f>
        <v>#NAME?</v>
      </c>
      <c r="CM53" s="3">
        <f>CX46</f>
        <v>0.65103876766383018</v>
      </c>
      <c r="CN53" s="3">
        <f>CY46</f>
        <v>0.16275969191595754</v>
      </c>
      <c r="CO53" s="1"/>
      <c r="CP53" s="1" t="b">
        <f>ISERR(CM53)</f>
        <v>0</v>
      </c>
      <c r="CQ53" s="3">
        <f>IF(CP53=FALSE,CM53,0%)</f>
        <v>0.65103876766383018</v>
      </c>
      <c r="CR53" s="1"/>
      <c r="CS53" s="1"/>
      <c r="CT53" s="1" t="s">
        <v>67</v>
      </c>
      <c r="CU53" s="3">
        <f>CQ56</f>
        <v>0.41063694243944848</v>
      </c>
      <c r="CV53" s="1"/>
      <c r="CW53" s="1" t="str">
        <f t="shared" ref="CW53:CW61" si="34">CT53</f>
        <v>EURx</v>
      </c>
      <c r="CX53" s="1" t="str">
        <f t="shared" ref="CX53:CX60" si="35">CV44</f>
        <v>EUR</v>
      </c>
      <c r="CY53" s="4">
        <f t="shared" ref="CY53:CY60" si="36">CU53</f>
        <v>0.41063694243944848</v>
      </c>
      <c r="CZ53" s="4">
        <f t="shared" ref="CZ53:CZ60" si="37">CX44</f>
        <v>0.41063694243944848</v>
      </c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 t="s">
        <v>61</v>
      </c>
      <c r="DL53" s="1"/>
      <c r="DM53" s="1"/>
      <c r="DN53" s="8" t="e">
        <f>SUM(DQ51-DN51)*-1</f>
        <v>#REF!</v>
      </c>
      <c r="DO53" s="8"/>
      <c r="DP53" s="8"/>
      <c r="DQ53" s="8"/>
      <c r="DR53" s="1"/>
    </row>
    <row r="54" spans="2:122" ht="15.75" x14ac:dyDescent="0.25">
      <c r="B54" s="130" t="s">
        <v>44</v>
      </c>
      <c r="C54" s="135">
        <f>$N$28</f>
        <v>11.899999999999133</v>
      </c>
      <c r="D54" s="131" t="s">
        <v>6</v>
      </c>
      <c r="E54" s="132" t="str">
        <f t="shared" si="28"/>
        <v>WAIT</v>
      </c>
      <c r="F54" s="133">
        <f>N31</f>
        <v>0.1558139534883741</v>
      </c>
      <c r="G54" s="127">
        <f t="shared" si="25"/>
        <v>4</v>
      </c>
      <c r="H54" s="128">
        <f t="shared" si="26"/>
        <v>5.2857142857142856</v>
      </c>
      <c r="I54" s="130">
        <f t="shared" si="27"/>
        <v>-1.2857142857142856</v>
      </c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CE54" s="1"/>
      <c r="CF54" s="1" t="s">
        <v>68</v>
      </c>
      <c r="CG54" s="1" t="s">
        <v>69</v>
      </c>
      <c r="CH54" s="15" t="s">
        <v>70</v>
      </c>
      <c r="CI54" s="16" t="e">
        <f>[2]!'6BM1'</f>
        <v>#NAME?</v>
      </c>
      <c r="CJ54" s="16" t="e">
        <f>[3]!'6BM1'</f>
        <v>#NAME?</v>
      </c>
      <c r="CK54" s="16" t="e">
        <f>[4]!'6BM1'</f>
        <v>#NAME?</v>
      </c>
      <c r="CL54" s="16" t="e">
        <f>[5]!'6BM1'</f>
        <v>#NAME?</v>
      </c>
      <c r="CM54" s="3">
        <f>CX45</f>
        <v>0.61692829997703169</v>
      </c>
      <c r="CN54" s="3">
        <f>CY45</f>
        <v>0.15423207499425792</v>
      </c>
      <c r="CO54" s="1"/>
      <c r="CP54" s="1" t="b">
        <f t="shared" ref="CP54:CP111" si="38">ISERR(CM54)</f>
        <v>0</v>
      </c>
      <c r="CQ54" s="3">
        <f t="shared" ref="CQ54:CQ60" si="39">IF(CP54=FALSE,CM54,0%)</f>
        <v>0.61692829997703169</v>
      </c>
      <c r="CR54" s="1"/>
      <c r="CS54" s="1"/>
      <c r="CT54" s="1" t="s">
        <v>71</v>
      </c>
      <c r="CU54" s="3">
        <f>CQ54</f>
        <v>0.61692829997703169</v>
      </c>
      <c r="CV54" s="1"/>
      <c r="CW54" s="1" t="str">
        <f t="shared" si="34"/>
        <v>GBPx</v>
      </c>
      <c r="CX54" s="1" t="str">
        <f t="shared" si="35"/>
        <v>GBP</v>
      </c>
      <c r="CY54" s="4">
        <f t="shared" si="36"/>
        <v>0.61692829997703169</v>
      </c>
      <c r="CZ54" s="4">
        <f t="shared" si="37"/>
        <v>0.61692829997703169</v>
      </c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8"/>
      <c r="DO54" s="8"/>
      <c r="DP54" s="8"/>
      <c r="DQ54" s="8"/>
      <c r="DR54" s="1"/>
    </row>
    <row r="55" spans="2:122" ht="15.75" x14ac:dyDescent="0.25">
      <c r="B55" s="130" t="s">
        <v>44</v>
      </c>
      <c r="C55" s="134">
        <f>$O$28</f>
        <v>16.800000000000637</v>
      </c>
      <c r="D55" s="131" t="s">
        <v>12</v>
      </c>
      <c r="E55" s="132" t="str">
        <f t="shared" si="28"/>
        <v>WAIT</v>
      </c>
      <c r="F55" s="133">
        <f>O31</f>
        <v>0.78655199374511575</v>
      </c>
      <c r="G55" s="127">
        <f t="shared" si="25"/>
        <v>4</v>
      </c>
      <c r="H55" s="128">
        <f t="shared" si="26"/>
        <v>2.7142857142857144</v>
      </c>
      <c r="I55" s="129">
        <f t="shared" si="27"/>
        <v>1.2857142857142856</v>
      </c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CE55" s="1"/>
      <c r="CF55" s="1" t="s">
        <v>72</v>
      </c>
      <c r="CG55" s="1" t="s">
        <v>73</v>
      </c>
      <c r="CH55" s="15" t="s">
        <v>74</v>
      </c>
      <c r="CI55" s="16" t="e">
        <f>[2]!'#CL'</f>
        <v>#NAME?</v>
      </c>
      <c r="CJ55" s="16" t="e">
        <f>[3]!'#CL'</f>
        <v>#NAME?</v>
      </c>
      <c r="CK55" s="16" t="e">
        <f>[4]!'#CL'</f>
        <v>#NAME?</v>
      </c>
      <c r="CL55" s="16" t="e">
        <f>[5]!'#CL'</f>
        <v>#NAME?</v>
      </c>
      <c r="CM55" s="3">
        <f>CX48</f>
        <v>0.77879386316056198</v>
      </c>
      <c r="CN55" s="3">
        <f>CY48</f>
        <v>0.1946984657901405</v>
      </c>
      <c r="CO55" s="1"/>
      <c r="CP55" s="1" t="b">
        <f t="shared" si="38"/>
        <v>0</v>
      </c>
      <c r="CQ55" s="3">
        <f t="shared" si="39"/>
        <v>0.77879386316056198</v>
      </c>
      <c r="CR55" s="1"/>
      <c r="CS55" s="1"/>
      <c r="CT55" s="1" t="s">
        <v>75</v>
      </c>
      <c r="CU55" s="3">
        <f>CQ53</f>
        <v>0.65103876766383018</v>
      </c>
      <c r="CV55" s="1"/>
      <c r="CW55" s="1" t="str">
        <f t="shared" si="34"/>
        <v>AUDx</v>
      </c>
      <c r="CX55" s="1" t="str">
        <f t="shared" si="35"/>
        <v>AUD</v>
      </c>
      <c r="CY55" s="4">
        <f t="shared" si="36"/>
        <v>0.65103876766383018</v>
      </c>
      <c r="CZ55" s="4">
        <f t="shared" si="37"/>
        <v>0.65103876766383018</v>
      </c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5" t="s">
        <v>47</v>
      </c>
      <c r="DL55" s="1" t="s">
        <v>54</v>
      </c>
      <c r="DM55" s="1" t="s">
        <v>55</v>
      </c>
      <c r="DN55" s="1" t="s">
        <v>56</v>
      </c>
      <c r="DO55" s="8" t="s">
        <v>57</v>
      </c>
      <c r="DP55" s="8" t="s">
        <v>58</v>
      </c>
      <c r="DQ55" s="8" t="s">
        <v>59</v>
      </c>
      <c r="DR55" s="1"/>
    </row>
    <row r="56" spans="2:122" ht="15.75" x14ac:dyDescent="0.25">
      <c r="B56" s="130" t="s">
        <v>44</v>
      </c>
      <c r="C56" s="130">
        <f>$P$28</f>
        <v>10.799999999999699</v>
      </c>
      <c r="D56" s="136" t="s">
        <v>8</v>
      </c>
      <c r="E56" s="132" t="str">
        <f t="shared" si="28"/>
        <v>WAIT</v>
      </c>
      <c r="F56" s="133">
        <f>P31</f>
        <v>0.75483616265297948</v>
      </c>
      <c r="G56" s="127">
        <f t="shared" si="25"/>
        <v>4</v>
      </c>
      <c r="H56" s="128">
        <f t="shared" si="26"/>
        <v>1.8571428571428572</v>
      </c>
      <c r="I56" s="130">
        <f t="shared" si="27"/>
        <v>2.1428571428571428</v>
      </c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CE56" s="1"/>
      <c r="CF56" s="1" t="s">
        <v>76</v>
      </c>
      <c r="CG56" s="1" t="s">
        <v>77</v>
      </c>
      <c r="CH56" s="15" t="s">
        <v>78</v>
      </c>
      <c r="CI56" s="16" t="e">
        <f>[2]!'6EM1'</f>
        <v>#NAME?</v>
      </c>
      <c r="CJ56" s="16" t="e">
        <f>[3]!'6EM1'</f>
        <v>#NAME?</v>
      </c>
      <c r="CK56" s="16" t="e">
        <f>[4]!'6EM1'</f>
        <v>#NAME?</v>
      </c>
      <c r="CL56" s="16" t="e">
        <f>[5]!'6EM1'</f>
        <v>#NAME?</v>
      </c>
      <c r="CM56" s="3">
        <f>CX44</f>
        <v>0.41063694243944848</v>
      </c>
      <c r="CN56" s="3">
        <f>CY44</f>
        <v>0.10265923560986212</v>
      </c>
      <c r="CO56" s="1"/>
      <c r="CP56" s="1" t="b">
        <f t="shared" si="38"/>
        <v>0</v>
      </c>
      <c r="CQ56" s="3">
        <f t="shared" si="39"/>
        <v>0.41063694243944848</v>
      </c>
      <c r="CR56" s="1"/>
      <c r="CS56" s="1"/>
      <c r="CT56" s="1" t="s">
        <v>79</v>
      </c>
      <c r="CU56" s="3">
        <f>CQ58</f>
        <v>0.1661745638257123</v>
      </c>
      <c r="CV56" s="1"/>
      <c r="CW56" s="1" t="str">
        <f t="shared" si="34"/>
        <v>NZDx</v>
      </c>
      <c r="CX56" s="1" t="str">
        <f t="shared" si="35"/>
        <v>NZD</v>
      </c>
      <c r="CY56" s="4">
        <f t="shared" si="36"/>
        <v>0.1661745638257123</v>
      </c>
      <c r="CZ56" s="4">
        <f t="shared" si="37"/>
        <v>0.1661745638257123</v>
      </c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 t="s">
        <v>24</v>
      </c>
      <c r="DL56" s="1" t="e">
        <f t="shared" ref="DL56:DQ59" si="40">DD39</f>
        <v>#REF!</v>
      </c>
      <c r="DM56" s="1" t="e">
        <f t="shared" si="40"/>
        <v>#REF!</v>
      </c>
      <c r="DN56" s="8" t="e">
        <f t="shared" si="40"/>
        <v>#REF!</v>
      </c>
      <c r="DO56" s="8">
        <f t="shared" si="40"/>
        <v>225.30000000000049</v>
      </c>
      <c r="DP56" s="8" t="e">
        <f t="shared" si="40"/>
        <v>#REF!</v>
      </c>
      <c r="DQ56" s="8" t="e">
        <f t="shared" si="40"/>
        <v>#REF!</v>
      </c>
      <c r="DR56" s="1"/>
    </row>
    <row r="57" spans="2:122" ht="15.75" x14ac:dyDescent="0.25">
      <c r="B57" s="130" t="s">
        <v>44</v>
      </c>
      <c r="C57" s="129">
        <f>$Q$28</f>
        <v>4.3999999999999595</v>
      </c>
      <c r="D57" s="137" t="s">
        <v>11</v>
      </c>
      <c r="E57" s="132" t="str">
        <f t="shared" si="28"/>
        <v>WAIT</v>
      </c>
      <c r="F57" s="133">
        <f>Q31</f>
        <v>0.3266499582289113</v>
      </c>
      <c r="G57" s="127">
        <f t="shared" si="25"/>
        <v>4</v>
      </c>
      <c r="H57" s="128">
        <f t="shared" si="26"/>
        <v>5.5714285714285712</v>
      </c>
      <c r="I57" s="129">
        <f t="shared" si="27"/>
        <v>-1.5714285714285712</v>
      </c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CE57" s="1"/>
      <c r="CF57" s="1" t="s">
        <v>80</v>
      </c>
      <c r="CG57" s="1" t="s">
        <v>81</v>
      </c>
      <c r="CH57" s="15" t="s">
        <v>82</v>
      </c>
      <c r="CI57" s="16" t="e">
        <f>[2]!'#N225'</f>
        <v>#NAME?</v>
      </c>
      <c r="CJ57" s="16" t="e">
        <f>[3]!'#N225'</f>
        <v>#NAME?</v>
      </c>
      <c r="CK57" s="16" t="e">
        <f>[4]!'#N225'</f>
        <v>#NAME?</v>
      </c>
      <c r="CL57" s="16" t="e">
        <f>[5]!'#N225'</f>
        <v>#NAME?</v>
      </c>
      <c r="CM57" s="3">
        <f>CX51</f>
        <v>0.28549936424636019</v>
      </c>
      <c r="CN57" s="3">
        <f>CY51</f>
        <v>7.1374841061590047E-2</v>
      </c>
      <c r="CO57" s="1"/>
      <c r="CP57" s="1" t="b">
        <f t="shared" si="38"/>
        <v>0</v>
      </c>
      <c r="CQ57" s="3">
        <f t="shared" si="39"/>
        <v>0.28549936424636019</v>
      </c>
      <c r="CR57" s="1"/>
      <c r="CS57" s="1"/>
      <c r="CT57" s="1" t="s">
        <v>83</v>
      </c>
      <c r="CU57" s="3">
        <f>CQ55</f>
        <v>0.77879386316056198</v>
      </c>
      <c r="CV57" s="1"/>
      <c r="CW57" s="1" t="str">
        <f t="shared" si="34"/>
        <v>CADx</v>
      </c>
      <c r="CX57" s="1" t="str">
        <f t="shared" si="35"/>
        <v>CAD</v>
      </c>
      <c r="CY57" s="4">
        <f t="shared" si="36"/>
        <v>0.77879386316056198</v>
      </c>
      <c r="CZ57" s="4">
        <f t="shared" si="37"/>
        <v>0.77879386316056198</v>
      </c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 t="s">
        <v>25</v>
      </c>
      <c r="DL57" s="1" t="e">
        <f t="shared" si="40"/>
        <v>#REF!</v>
      </c>
      <c r="DM57" s="1" t="e">
        <f t="shared" si="40"/>
        <v>#REF!</v>
      </c>
      <c r="DN57" s="8" t="e">
        <f t="shared" si="40"/>
        <v>#REF!</v>
      </c>
      <c r="DO57" s="8">
        <f t="shared" si="40"/>
        <v>100.79999999999978</v>
      </c>
      <c r="DP57" s="8" t="e">
        <f t="shared" si="40"/>
        <v>#REF!</v>
      </c>
      <c r="DQ57" s="8" t="e">
        <f t="shared" si="40"/>
        <v>#REF!</v>
      </c>
      <c r="DR57" s="1"/>
    </row>
    <row r="58" spans="2:122" ht="15.75" x14ac:dyDescent="0.25">
      <c r="B58" s="130" t="s">
        <v>45</v>
      </c>
      <c r="C58" s="130">
        <f>$R$28</f>
        <v>30.600000000000627</v>
      </c>
      <c r="D58" s="131" t="s">
        <v>13</v>
      </c>
      <c r="E58" s="132" t="str">
        <f t="shared" si="28"/>
        <v>WAIT</v>
      </c>
      <c r="F58" s="133">
        <f>R31</f>
        <v>0.46339113680153715</v>
      </c>
      <c r="G58" s="127">
        <f t="shared" si="25"/>
        <v>5.2857142857142856</v>
      </c>
      <c r="H58" s="128">
        <f t="shared" si="26"/>
        <v>5.7142857142857144</v>
      </c>
      <c r="I58" s="130">
        <f t="shared" si="27"/>
        <v>-0.42857142857142883</v>
      </c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CE58" s="1"/>
      <c r="CF58" s="1" t="s">
        <v>84</v>
      </c>
      <c r="CG58" s="1" t="s">
        <v>85</v>
      </c>
      <c r="CH58" s="15" t="s">
        <v>86</v>
      </c>
      <c r="CI58" s="16" t="e">
        <f>[2]!'6NM1'</f>
        <v>#NAME?</v>
      </c>
      <c r="CJ58" s="16" t="e">
        <f>[3]!'6NM1'</f>
        <v>#NAME?</v>
      </c>
      <c r="CK58" s="16" t="e">
        <f>[4]!'6NM1'</f>
        <v>#NAME?</v>
      </c>
      <c r="CL58" s="16" t="e">
        <f>[5]!'6NM1'</f>
        <v>#NAME?</v>
      </c>
      <c r="CM58" s="3">
        <f>CX47</f>
        <v>0.1661745638257123</v>
      </c>
      <c r="CN58" s="3">
        <f>CY47</f>
        <v>4.1543640956428075E-2</v>
      </c>
      <c r="CO58" s="1"/>
      <c r="CP58" s="1" t="b">
        <f t="shared" si="38"/>
        <v>0</v>
      </c>
      <c r="CQ58" s="3">
        <f t="shared" si="39"/>
        <v>0.1661745638257123</v>
      </c>
      <c r="CR58" s="1"/>
      <c r="CS58" s="1"/>
      <c r="CT58" s="1" t="s">
        <v>87</v>
      </c>
      <c r="CU58" s="3">
        <f>CQ59</f>
        <v>0.47499279830418295</v>
      </c>
      <c r="CV58" s="1"/>
      <c r="CW58" s="1" t="str">
        <f t="shared" si="34"/>
        <v>CHFx</v>
      </c>
      <c r="CX58" s="1" t="str">
        <f t="shared" si="35"/>
        <v>CHF</v>
      </c>
      <c r="CY58" s="4">
        <f t="shared" si="36"/>
        <v>0.47499279830418295</v>
      </c>
      <c r="CZ58" s="4">
        <f t="shared" si="37"/>
        <v>0.47499279830418295</v>
      </c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 t="s">
        <v>26</v>
      </c>
      <c r="DL58" s="1" t="e">
        <f t="shared" si="40"/>
        <v>#REF!</v>
      </c>
      <c r="DM58" s="1" t="e">
        <f t="shared" si="40"/>
        <v>#REF!</v>
      </c>
      <c r="DN58" s="8" t="e">
        <f t="shared" si="40"/>
        <v>#REF!</v>
      </c>
      <c r="DO58" s="8">
        <f t="shared" si="40"/>
        <v>126.00000000000055</v>
      </c>
      <c r="DP58" s="8" t="e">
        <f t="shared" si="40"/>
        <v>#REF!</v>
      </c>
      <c r="DQ58" s="8" t="e">
        <f t="shared" si="40"/>
        <v>#REF!</v>
      </c>
      <c r="DR58" s="1"/>
    </row>
    <row r="59" spans="2:122" ht="15.75" x14ac:dyDescent="0.25">
      <c r="B59" s="130" t="s">
        <v>45</v>
      </c>
      <c r="C59" s="129">
        <f>$S$28</f>
        <v>21.200000000001218</v>
      </c>
      <c r="D59" s="131" t="s">
        <v>15</v>
      </c>
      <c r="E59" s="132" t="str">
        <f t="shared" si="28"/>
        <v>WAIT</v>
      </c>
      <c r="F59" s="133">
        <f>S31</f>
        <v>0.31305903398926621</v>
      </c>
      <c r="G59" s="127">
        <f t="shared" si="25"/>
        <v>5.2857142857142856</v>
      </c>
      <c r="H59" s="128">
        <f t="shared" si="26"/>
        <v>6.7142857142857144</v>
      </c>
      <c r="I59" s="129">
        <f t="shared" si="27"/>
        <v>-1.4285714285714288</v>
      </c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CE59" s="1"/>
      <c r="CF59" s="1" t="s">
        <v>88</v>
      </c>
      <c r="CG59" s="1" t="s">
        <v>89</v>
      </c>
      <c r="CH59" s="15" t="s">
        <v>90</v>
      </c>
      <c r="CI59" s="16" t="e">
        <f>[2]!'6SM1'</f>
        <v>#NAME?</v>
      </c>
      <c r="CJ59" s="16" t="e">
        <f>[3]!'6SM1'</f>
        <v>#NAME?</v>
      </c>
      <c r="CK59" s="16" t="e">
        <f>[4]!'6SM1'</f>
        <v>#NAME?</v>
      </c>
      <c r="CL59" s="16" t="e">
        <f>[5]!'6SM1'</f>
        <v>#NAME?</v>
      </c>
      <c r="CM59" s="3">
        <f>CX49</f>
        <v>0.47499279830418295</v>
      </c>
      <c r="CN59" s="3">
        <f>CY49</f>
        <v>0.11874819957604574</v>
      </c>
      <c r="CO59" s="1"/>
      <c r="CP59" s="1" t="b">
        <f t="shared" si="38"/>
        <v>0</v>
      </c>
      <c r="CQ59" s="3">
        <f t="shared" si="39"/>
        <v>0.47499279830418295</v>
      </c>
      <c r="CR59" s="1"/>
      <c r="CS59" s="1"/>
      <c r="CT59" s="1" t="s">
        <v>91</v>
      </c>
      <c r="CU59" s="3">
        <f>CQ60</f>
        <v>0.61593540038287209</v>
      </c>
      <c r="CV59" s="1"/>
      <c r="CW59" s="1" t="str">
        <f t="shared" si="34"/>
        <v>USDx</v>
      </c>
      <c r="CX59" s="1" t="str">
        <f t="shared" si="35"/>
        <v>USD</v>
      </c>
      <c r="CY59" s="4">
        <f t="shared" si="36"/>
        <v>0.61593540038287209</v>
      </c>
      <c r="CZ59" s="4">
        <f t="shared" si="37"/>
        <v>0.61593540038287209</v>
      </c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 t="s">
        <v>27</v>
      </c>
      <c r="DL59" s="1" t="e">
        <f t="shared" si="40"/>
        <v>#REF!</v>
      </c>
      <c r="DM59" s="1" t="e">
        <f t="shared" si="40"/>
        <v>#REF!</v>
      </c>
      <c r="DN59" s="8" t="e">
        <f t="shared" si="40"/>
        <v>#REF!</v>
      </c>
      <c r="DO59" s="8">
        <f t="shared" si="40"/>
        <v>137.19999999999999</v>
      </c>
      <c r="DP59" s="8" t="e">
        <f t="shared" si="40"/>
        <v>#REF!</v>
      </c>
      <c r="DQ59" s="8" t="e">
        <f t="shared" si="40"/>
        <v>#REF!</v>
      </c>
      <c r="DR59" s="1"/>
    </row>
    <row r="60" spans="2:122" ht="15.75" x14ac:dyDescent="0.25">
      <c r="B60" s="130" t="s">
        <v>45</v>
      </c>
      <c r="C60" s="130">
        <f>$T$28</f>
        <v>24.299999999999322</v>
      </c>
      <c r="D60" s="131" t="s">
        <v>16</v>
      </c>
      <c r="E60" s="132" t="str">
        <f t="shared" si="28"/>
        <v>WAIT</v>
      </c>
      <c r="F60" s="133">
        <f>T31</f>
        <v>0.66312997347480251</v>
      </c>
      <c r="G60" s="127">
        <f t="shared" si="25"/>
        <v>5.2857142857142856</v>
      </c>
      <c r="H60" s="128">
        <f t="shared" si="26"/>
        <v>4.1428571428571432</v>
      </c>
      <c r="I60" s="130">
        <f t="shared" si="27"/>
        <v>1.1428571428571423</v>
      </c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CE60" s="1"/>
      <c r="CF60" s="1" t="s">
        <v>92</v>
      </c>
      <c r="CG60" s="1" t="s">
        <v>93</v>
      </c>
      <c r="CH60" s="1" t="s">
        <v>94</v>
      </c>
      <c r="CI60" s="7" t="e">
        <f>[2]!'#USDX'</f>
        <v>#NAME?</v>
      </c>
      <c r="CJ60" s="7" t="e">
        <f>[3]!'#USDX'</f>
        <v>#NAME?</v>
      </c>
      <c r="CK60" s="7" t="e">
        <f>[4]!'#USDX'</f>
        <v>#NAME?</v>
      </c>
      <c r="CL60" s="7" t="e">
        <f>[5]!'#USDX'</f>
        <v>#NAME?</v>
      </c>
      <c r="CM60" s="3">
        <f>CX50</f>
        <v>0.61593540038287209</v>
      </c>
      <c r="CN60" s="3">
        <f>CY50</f>
        <v>0.15398385009571802</v>
      </c>
      <c r="CO60" s="4"/>
      <c r="CP60" s="1" t="b">
        <f t="shared" si="38"/>
        <v>0</v>
      </c>
      <c r="CQ60" s="3">
        <f t="shared" si="39"/>
        <v>0.61593540038287209</v>
      </c>
      <c r="CR60" s="1"/>
      <c r="CS60" s="1"/>
      <c r="CT60" s="1" t="s">
        <v>95</v>
      </c>
      <c r="CU60" s="3">
        <f>CQ57</f>
        <v>0.28549936424636019</v>
      </c>
      <c r="CV60" s="1"/>
      <c r="CW60" s="1" t="str">
        <f t="shared" si="34"/>
        <v>JPYx</v>
      </c>
      <c r="CX60" s="1" t="str">
        <f t="shared" si="35"/>
        <v>JPY</v>
      </c>
      <c r="CY60" s="4">
        <f t="shared" si="36"/>
        <v>0.28549936424636019</v>
      </c>
      <c r="CZ60" s="4">
        <f t="shared" si="37"/>
        <v>0.28549936424636019</v>
      </c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 t="s">
        <v>8</v>
      </c>
      <c r="DL60" s="1" t="e">
        <f t="shared" ref="DL60:DQ60" si="41">DL22</f>
        <v>#REF!</v>
      </c>
      <c r="DM60" s="1" t="e">
        <f t="shared" si="41"/>
        <v>#REF!</v>
      </c>
      <c r="DN60" s="8" t="e">
        <f t="shared" si="41"/>
        <v>#REF!</v>
      </c>
      <c r="DO60" s="8">
        <f t="shared" si="41"/>
        <v>253.30000000000075</v>
      </c>
      <c r="DP60" s="8" t="e">
        <f t="shared" si="41"/>
        <v>#REF!</v>
      </c>
      <c r="DQ60" s="8" t="e">
        <f t="shared" si="41"/>
        <v>#REF!</v>
      </c>
      <c r="DR60" s="1"/>
    </row>
    <row r="61" spans="2:122" ht="15.75" x14ac:dyDescent="0.25">
      <c r="B61" s="130" t="s">
        <v>45</v>
      </c>
      <c r="C61" s="129">
        <f>$U$28</f>
        <v>23.799999999999955</v>
      </c>
      <c r="D61" s="131" t="s">
        <v>18</v>
      </c>
      <c r="E61" s="132" t="str">
        <f t="shared" si="28"/>
        <v>WAIT</v>
      </c>
      <c r="F61" s="133">
        <f>U31</f>
        <v>0.7866407263294467</v>
      </c>
      <c r="G61" s="127">
        <f t="shared" si="25"/>
        <v>5.2857142857142856</v>
      </c>
      <c r="H61" s="128">
        <f t="shared" si="26"/>
        <v>2.7142857142857144</v>
      </c>
      <c r="I61" s="129">
        <f t="shared" si="27"/>
        <v>2.5714285714285712</v>
      </c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CE61" s="1"/>
      <c r="CF61" s="1" t="s">
        <v>96</v>
      </c>
      <c r="CG61" s="1" t="s">
        <v>97</v>
      </c>
      <c r="CH61" s="1" t="s">
        <v>98</v>
      </c>
      <c r="CI61" s="7" t="e">
        <f>#REF!</f>
        <v>#REF!</v>
      </c>
      <c r="CJ61" s="7" t="e">
        <f>#REF!</f>
        <v>#REF!</v>
      </c>
      <c r="CK61" s="7" t="e">
        <f>#REF!</f>
        <v>#REF!</v>
      </c>
      <c r="CL61" s="7" t="e">
        <f>#REF!</f>
        <v>#REF!</v>
      </c>
      <c r="CM61" s="3" t="e">
        <f>(100*(CK61-CJ61)/(CI61-CJ61))/100</f>
        <v>#REF!</v>
      </c>
      <c r="CN61" s="3" t="e">
        <f>(CI61-CL61)/(CI61-CJ61)</f>
        <v>#REF!</v>
      </c>
      <c r="CO61" s="1"/>
      <c r="CP61" s="1" t="b">
        <f>ISERR(CM61)</f>
        <v>1</v>
      </c>
      <c r="CQ61" s="3">
        <f>IF(CP61=FALSE,CM61,0%)</f>
        <v>0</v>
      </c>
      <c r="CR61" s="1"/>
      <c r="CS61" s="1"/>
      <c r="CT61" s="1" t="s">
        <v>99</v>
      </c>
      <c r="CU61" s="17">
        <f>CQ61</f>
        <v>0</v>
      </c>
      <c r="CV61" s="1"/>
      <c r="CW61" s="1" t="str">
        <f t="shared" si="34"/>
        <v>ZARx</v>
      </c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 t="s">
        <v>14</v>
      </c>
      <c r="DL61" s="1" t="e">
        <f t="shared" ref="DL61:DQ61" si="42">DL34</f>
        <v>#REF!</v>
      </c>
      <c r="DM61" s="1" t="e">
        <f t="shared" si="42"/>
        <v>#REF!</v>
      </c>
      <c r="DN61" s="8" t="e">
        <f t="shared" si="42"/>
        <v>#REF!</v>
      </c>
      <c r="DO61" s="8">
        <f t="shared" si="42"/>
        <v>462.59999999999746</v>
      </c>
      <c r="DP61" s="8" t="e">
        <f t="shared" si="42"/>
        <v>#REF!</v>
      </c>
      <c r="DQ61" s="8" t="e">
        <f t="shared" si="42"/>
        <v>#REF!</v>
      </c>
      <c r="DR61" s="1"/>
    </row>
    <row r="62" spans="2:122" ht="15.75" x14ac:dyDescent="0.25">
      <c r="B62" s="130" t="s">
        <v>45</v>
      </c>
      <c r="C62" s="130">
        <f>$V$28</f>
        <v>21.800000000000708</v>
      </c>
      <c r="D62" s="131" t="s">
        <v>14</v>
      </c>
      <c r="E62" s="132" t="str">
        <f t="shared" si="28"/>
        <v>BUY</v>
      </c>
      <c r="F62" s="133">
        <f>V31</f>
        <v>0.85343709468222995</v>
      </c>
      <c r="G62" s="127">
        <f t="shared" si="25"/>
        <v>5.2857142857142856</v>
      </c>
      <c r="H62" s="128">
        <f t="shared" si="26"/>
        <v>1.8571428571428572</v>
      </c>
      <c r="I62" s="130">
        <f t="shared" si="27"/>
        <v>3.4285714285714284</v>
      </c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CE62" s="1"/>
      <c r="CF62" s="1" t="s">
        <v>100</v>
      </c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4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 t="s">
        <v>19</v>
      </c>
      <c r="DL62" s="1" t="e">
        <f t="shared" ref="DL62:DQ62" si="43">DL44</f>
        <v>#REF!</v>
      </c>
      <c r="DM62" s="1" t="e">
        <f t="shared" si="43"/>
        <v>#REF!</v>
      </c>
      <c r="DN62" s="8" t="e">
        <f t="shared" si="43"/>
        <v>#REF!</v>
      </c>
      <c r="DO62" s="8">
        <f t="shared" si="43"/>
        <v>168.69999999999942</v>
      </c>
      <c r="DP62" s="8" t="e">
        <f t="shared" si="43"/>
        <v>#REF!</v>
      </c>
      <c r="DQ62" s="8" t="e">
        <f t="shared" si="43"/>
        <v>#REF!</v>
      </c>
      <c r="DR62" s="1"/>
    </row>
    <row r="63" spans="2:122" ht="15.75" x14ac:dyDescent="0.25">
      <c r="B63" s="130" t="s">
        <v>45</v>
      </c>
      <c r="C63" s="134">
        <f>$W$28</f>
        <v>20.299999999999763</v>
      </c>
      <c r="D63" s="131" t="s">
        <v>17</v>
      </c>
      <c r="E63" s="132" t="str">
        <f t="shared" si="28"/>
        <v>WAIT</v>
      </c>
      <c r="F63" s="133">
        <f>W31</f>
        <v>0.39465408805031443</v>
      </c>
      <c r="G63" s="127">
        <f t="shared" si="25"/>
        <v>5.2857142857142856</v>
      </c>
      <c r="H63" s="128">
        <f t="shared" si="26"/>
        <v>5.5714285714285712</v>
      </c>
      <c r="I63" s="129">
        <f t="shared" si="27"/>
        <v>-0.28571428571428559</v>
      </c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52"/>
      <c r="AH63" s="52"/>
      <c r="CE63" s="1"/>
      <c r="CF63" s="1" t="s">
        <v>101</v>
      </c>
      <c r="CG63" s="1"/>
      <c r="CH63" s="1"/>
      <c r="CI63" s="1"/>
      <c r="CJ63" s="1"/>
      <c r="CK63" s="1"/>
      <c r="CL63" s="1"/>
      <c r="CM63" s="1"/>
      <c r="CN63" s="18"/>
      <c r="CO63" s="1"/>
      <c r="CP63" s="1"/>
      <c r="CQ63" s="4"/>
      <c r="CR63" s="1"/>
      <c r="CS63" s="1"/>
      <c r="CT63" s="1"/>
      <c r="CU63" s="1"/>
      <c r="CV63" s="1"/>
      <c r="CW63" s="1"/>
      <c r="CX63" s="1"/>
      <c r="CY63" s="1" t="s">
        <v>102</v>
      </c>
      <c r="CZ63" s="1"/>
      <c r="DA63" s="1"/>
      <c r="DB63" s="1" t="s">
        <v>103</v>
      </c>
      <c r="DC63" s="1" t="s">
        <v>104</v>
      </c>
      <c r="DD63" s="1" t="s">
        <v>105</v>
      </c>
      <c r="DE63" s="1"/>
      <c r="DF63" s="1"/>
      <c r="DG63" s="1"/>
      <c r="DH63" s="1"/>
      <c r="DI63" s="1"/>
      <c r="DJ63" s="1"/>
      <c r="DK63" s="1"/>
      <c r="DL63" s="1" t="e">
        <f t="shared" ref="DL63:DQ63" si="44">SUM(DL56:DL62)</f>
        <v>#REF!</v>
      </c>
      <c r="DM63" s="1" t="e">
        <f t="shared" si="44"/>
        <v>#REF!</v>
      </c>
      <c r="DN63" s="8" t="e">
        <f t="shared" si="44"/>
        <v>#REF!</v>
      </c>
      <c r="DO63" s="8">
        <f t="shared" si="44"/>
        <v>1473.8999999999985</v>
      </c>
      <c r="DP63" s="8" t="e">
        <f t="shared" si="44"/>
        <v>#REF!</v>
      </c>
      <c r="DQ63" s="8" t="e">
        <f t="shared" si="44"/>
        <v>#REF!</v>
      </c>
      <c r="DR63" s="1"/>
    </row>
    <row r="64" spans="2:122" ht="15.75" x14ac:dyDescent="0.25">
      <c r="B64" s="130" t="s">
        <v>47</v>
      </c>
      <c r="C64" s="130">
        <f>$X$28</f>
        <v>37.000000000000369</v>
      </c>
      <c r="D64" s="131" t="s">
        <v>24</v>
      </c>
      <c r="E64" s="132" t="str">
        <f t="shared" si="28"/>
        <v>SELL</v>
      </c>
      <c r="F64" s="133">
        <f>X31</f>
        <v>5.8144695960942315E-2</v>
      </c>
      <c r="G64" s="127">
        <f t="shared" si="25"/>
        <v>1.8571428571428572</v>
      </c>
      <c r="H64" s="128">
        <f t="shared" si="26"/>
        <v>6.7142857142857144</v>
      </c>
      <c r="I64" s="130">
        <f t="shared" si="27"/>
        <v>-4.8571428571428577</v>
      </c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52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4"/>
      <c r="CR64" s="1"/>
      <c r="CS64" s="1"/>
      <c r="CT64" s="1"/>
      <c r="CU64" s="1"/>
      <c r="CV64" s="1"/>
      <c r="CW64" s="1"/>
      <c r="CX64" s="1">
        <v>1</v>
      </c>
      <c r="CY64" s="1" t="s">
        <v>106</v>
      </c>
      <c r="CZ64" s="3">
        <f>CM33</f>
        <v>0.7866407263294467</v>
      </c>
      <c r="DA64" s="1"/>
      <c r="DB64" s="3">
        <f>LARGE(CZ64:CZ78,1)</f>
        <v>0.82093517534537597</v>
      </c>
      <c r="DC64" s="1">
        <f>MATCH(DB64,CZ64:CZ78,0)</f>
        <v>3</v>
      </c>
      <c r="DD64" s="1" t="str">
        <f>VLOOKUP(DC64,CX64:CZ78,2,FALSE)</f>
        <v>UJ</v>
      </c>
      <c r="DE64" s="1"/>
      <c r="DF64" s="1"/>
      <c r="DG64" s="1"/>
      <c r="DH64" s="1"/>
      <c r="DI64" s="1"/>
      <c r="DJ64" s="1"/>
      <c r="DK64" s="1" t="s">
        <v>60</v>
      </c>
      <c r="DL64" s="1"/>
      <c r="DM64" s="1"/>
      <c r="DN64" s="8" t="e">
        <f>SUM(DP63+DN63)</f>
        <v>#REF!</v>
      </c>
      <c r="DO64" s="8"/>
      <c r="DP64" s="8"/>
      <c r="DQ64" s="8"/>
      <c r="DR64" s="1"/>
    </row>
    <row r="65" spans="2:122" ht="15.75" x14ac:dyDescent="0.25">
      <c r="B65" s="130" t="s">
        <v>47</v>
      </c>
      <c r="C65" s="129">
        <f>$Y$28</f>
        <v>18.599999999999728</v>
      </c>
      <c r="D65" s="131" t="s">
        <v>25</v>
      </c>
      <c r="E65" s="132" t="str">
        <f t="shared" si="28"/>
        <v>WAIT</v>
      </c>
      <c r="F65" s="133">
        <f>Y31</f>
        <v>0.14583333333333082</v>
      </c>
      <c r="G65" s="127">
        <f t="shared" si="25"/>
        <v>1.8571428571428572</v>
      </c>
      <c r="H65" s="128">
        <f t="shared" si="26"/>
        <v>4.1428571428571432</v>
      </c>
      <c r="I65" s="129">
        <f t="shared" si="27"/>
        <v>-2.285714285714286</v>
      </c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52"/>
      <c r="AH65" s="52"/>
      <c r="CE65" s="1" t="s">
        <v>107</v>
      </c>
      <c r="CF65" s="1" t="s">
        <v>108</v>
      </c>
      <c r="CG65" s="1" t="s">
        <v>109</v>
      </c>
      <c r="CH65" s="1" t="s">
        <v>110</v>
      </c>
      <c r="CI65" s="1" t="e">
        <f>[2]!'#SPX'</f>
        <v>#NAME?</v>
      </c>
      <c r="CJ65" s="1" t="e">
        <f>[3]!'#SPX'</f>
        <v>#NAME?</v>
      </c>
      <c r="CK65" s="1" t="e">
        <f>[4]!'#SPX'</f>
        <v>#NAME?</v>
      </c>
      <c r="CL65" s="1" t="e">
        <f>[5]!'#SPX'</f>
        <v>#NAME?</v>
      </c>
      <c r="CM65" s="4" t="e">
        <f>(100*(CK65-CJ65)/(CI65-CJ65))/100</f>
        <v>#NAME?</v>
      </c>
      <c r="CN65" s="4" t="e">
        <f>(CI65-CL65)/(CI65-CJ65)</f>
        <v>#NAME?</v>
      </c>
      <c r="CO65" s="1"/>
      <c r="CP65" s="1" t="b">
        <f t="shared" si="38"/>
        <v>1</v>
      </c>
      <c r="CQ65" s="4">
        <f>IF(CP65=FALSE,CM65,0%)</f>
        <v>0</v>
      </c>
      <c r="CR65" s="1" t="s">
        <v>108</v>
      </c>
      <c r="CS65" s="1"/>
      <c r="CT65" s="1" t="s">
        <v>109</v>
      </c>
      <c r="CU65" s="4">
        <f>CQ65</f>
        <v>0</v>
      </c>
      <c r="CV65" s="1"/>
      <c r="CW65" s="1"/>
      <c r="CX65" s="1">
        <v>2</v>
      </c>
      <c r="CY65" s="1" t="s">
        <v>111</v>
      </c>
      <c r="CZ65" s="3">
        <f>CM32</f>
        <v>0.39465408805031438</v>
      </c>
      <c r="DA65" s="1"/>
      <c r="DB65" s="3">
        <f>LARGE(CZ64:CZ78,2)</f>
        <v>0.81111741349971633</v>
      </c>
      <c r="DC65" s="1">
        <f>MATCH(DB65,CZ64:CZ78,0)</f>
        <v>11</v>
      </c>
      <c r="DD65" s="1" t="str">
        <f>VLOOKUP(DC65,CX64:CZ78,2,FALSE)</f>
        <v>CadJ</v>
      </c>
      <c r="DE65" s="1"/>
      <c r="DF65" s="1"/>
      <c r="DG65" s="1"/>
      <c r="DH65" s="1"/>
      <c r="DI65" s="1"/>
      <c r="DJ65" s="1"/>
      <c r="DK65" s="1" t="s">
        <v>61</v>
      </c>
      <c r="DL65" s="1"/>
      <c r="DM65" s="1"/>
      <c r="DN65" s="8" t="e">
        <f>SUM(DQ63-DN63)*-1</f>
        <v>#REF!</v>
      </c>
      <c r="DO65" s="8"/>
      <c r="DP65" s="8"/>
      <c r="DQ65" s="8"/>
      <c r="DR65" s="1"/>
    </row>
    <row r="66" spans="2:122" ht="15.75" x14ac:dyDescent="0.25">
      <c r="B66" s="130" t="s">
        <v>47</v>
      </c>
      <c r="C66" s="135">
        <f>$Z$28</f>
        <v>17.900000000000205</v>
      </c>
      <c r="D66" s="131" t="s">
        <v>27</v>
      </c>
      <c r="E66" s="132" t="str">
        <f t="shared" si="28"/>
        <v>WAIT</v>
      </c>
      <c r="F66" s="133">
        <f>Z31</f>
        <v>0.32871720116617598</v>
      </c>
      <c r="G66" s="127">
        <f t="shared" si="25"/>
        <v>1.8571428571428572</v>
      </c>
      <c r="H66" s="128">
        <f t="shared" si="26"/>
        <v>2.7142857142857144</v>
      </c>
      <c r="I66" s="130">
        <f t="shared" si="27"/>
        <v>-0.85714285714285721</v>
      </c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CE66" s="1"/>
      <c r="CF66" s="1" t="s">
        <v>112</v>
      </c>
      <c r="CG66" s="1" t="s">
        <v>113</v>
      </c>
      <c r="CH66" s="1" t="s">
        <v>114</v>
      </c>
      <c r="CI66" s="1" t="e">
        <f>[2]!'#COMPQ'</f>
        <v>#NAME?</v>
      </c>
      <c r="CJ66" s="1" t="e">
        <f>[3]!'#COMPQ'</f>
        <v>#NAME?</v>
      </c>
      <c r="CK66" s="1" t="e">
        <f>[4]!'#COMPQ'</f>
        <v>#NAME?</v>
      </c>
      <c r="CL66" s="1" t="e">
        <f>[5]!'#COMPQ'</f>
        <v>#NAME?</v>
      </c>
      <c r="CM66" s="4" t="e">
        <f>(100*(CK66-CJ66)/(CI66-CJ66))/100</f>
        <v>#NAME?</v>
      </c>
      <c r="CN66" s="4" t="e">
        <f>(CI66-CL66)/(CI66-CJ66)</f>
        <v>#NAME?</v>
      </c>
      <c r="CO66" s="1"/>
      <c r="CP66" s="1" t="b">
        <f t="shared" si="38"/>
        <v>1</v>
      </c>
      <c r="CQ66" s="4">
        <f>IF(CP66=FALSE,CM66,0%)</f>
        <v>0</v>
      </c>
      <c r="CR66" s="1" t="s">
        <v>112</v>
      </c>
      <c r="CS66" s="1"/>
      <c r="CT66" s="1" t="s">
        <v>113</v>
      </c>
      <c r="CU66" s="4">
        <f>CQ66</f>
        <v>0</v>
      </c>
      <c r="CV66" s="1"/>
      <c r="CW66" s="1"/>
      <c r="CX66" s="1">
        <v>3</v>
      </c>
      <c r="CY66" s="1" t="s">
        <v>115</v>
      </c>
      <c r="CZ66" s="3">
        <f>CM48</f>
        <v>0.82093517534537597</v>
      </c>
      <c r="DA66" s="1"/>
      <c r="DB66" s="3">
        <f>LARGE(CZ64:CZ78,3)</f>
        <v>0.80087527352297805</v>
      </c>
      <c r="DC66" s="1">
        <f>MATCH(DB66,CZ64:CZ78,0)</f>
        <v>12</v>
      </c>
      <c r="DD66" s="1" t="str">
        <f>VLOOKUP(DC66,CX64:CZ78,2,FALSE)</f>
        <v>AJ</v>
      </c>
      <c r="DE66" s="1"/>
      <c r="DF66" s="1"/>
      <c r="DG66" s="1"/>
      <c r="DH66" s="1"/>
      <c r="DI66" s="1"/>
      <c r="DJ66" s="1"/>
      <c r="DK66" s="1"/>
      <c r="DL66" s="1"/>
      <c r="DM66" s="1"/>
      <c r="DN66" s="8"/>
      <c r="DO66" s="8"/>
      <c r="DP66" s="8"/>
      <c r="DQ66" s="8"/>
      <c r="DR66" s="1"/>
    </row>
    <row r="67" spans="2:122" ht="15.75" x14ac:dyDescent="0.25">
      <c r="B67" s="130" t="s">
        <v>47</v>
      </c>
      <c r="C67" s="134">
        <f>$AA$28</f>
        <v>11.399999999999189</v>
      </c>
      <c r="D67" s="131" t="s">
        <v>26</v>
      </c>
      <c r="E67" s="132" t="str">
        <f t="shared" si="28"/>
        <v>SELL</v>
      </c>
      <c r="F67" s="133">
        <f>AA31</f>
        <v>7.460317460317839E-2</v>
      </c>
      <c r="G67" s="127">
        <f t="shared" si="25"/>
        <v>1.8571428571428572</v>
      </c>
      <c r="H67" s="128">
        <f t="shared" si="26"/>
        <v>5.5714285714285712</v>
      </c>
      <c r="I67" s="129">
        <f t="shared" si="27"/>
        <v>-3.714285714285714</v>
      </c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52"/>
      <c r="AH67" s="52"/>
      <c r="CE67" s="1"/>
      <c r="CF67" s="1" t="s">
        <v>116</v>
      </c>
      <c r="CG67" s="1" t="s">
        <v>117</v>
      </c>
      <c r="CH67" s="1" t="s">
        <v>118</v>
      </c>
      <c r="CI67" s="1" t="e">
        <f>[2]!'#INDU'</f>
        <v>#NAME?</v>
      </c>
      <c r="CJ67" s="1" t="e">
        <f>[3]!'#INDU'</f>
        <v>#NAME?</v>
      </c>
      <c r="CK67" s="1" t="e">
        <f>[4]!'#INDU'</f>
        <v>#NAME?</v>
      </c>
      <c r="CL67" s="1" t="e">
        <f>[5]!'#INDU'</f>
        <v>#NAME?</v>
      </c>
      <c r="CM67" s="4" t="e">
        <f>(100*(CK67-CJ67)/(CI67-CJ67))/100</f>
        <v>#NAME?</v>
      </c>
      <c r="CN67" s="4" t="e">
        <f>(CI67-CL67)/(CI67-CJ67)</f>
        <v>#NAME?</v>
      </c>
      <c r="CO67" s="1"/>
      <c r="CP67" s="1" t="b">
        <f t="shared" si="38"/>
        <v>1</v>
      </c>
      <c r="CQ67" s="4">
        <f>IF(CP67=FALSE,CM67,0%)</f>
        <v>0</v>
      </c>
      <c r="CR67" s="1" t="s">
        <v>116</v>
      </c>
      <c r="CS67" s="1"/>
      <c r="CT67" s="1" t="s">
        <v>117</v>
      </c>
      <c r="CU67" s="4">
        <f>CQ67</f>
        <v>0</v>
      </c>
      <c r="CV67" s="1"/>
      <c r="CW67" s="1"/>
      <c r="CX67" s="1">
        <v>4</v>
      </c>
      <c r="CY67" s="1" t="s">
        <v>119</v>
      </c>
      <c r="CZ67" s="3">
        <f>CM26</f>
        <v>0.3266499582289113</v>
      </c>
      <c r="DA67" s="1"/>
      <c r="DB67" s="3">
        <f>LARGE(CZ64:CZ78,4)</f>
        <v>0.7866407263294467</v>
      </c>
      <c r="DC67" s="1">
        <f>MATCH(DB67,CZ64:CZ78,0)</f>
        <v>1</v>
      </c>
      <c r="DD67" s="1" t="str">
        <f>VLOOKUP(DC67,CX64:CZ78,2,FALSE)</f>
        <v>GJ</v>
      </c>
      <c r="DE67" s="1"/>
      <c r="DF67" s="1"/>
      <c r="DG67" s="1"/>
      <c r="DH67" s="1"/>
      <c r="DI67" s="1"/>
      <c r="DJ67" s="1"/>
      <c r="DK67" s="5" t="s">
        <v>48</v>
      </c>
      <c r="DL67" s="1" t="s">
        <v>54</v>
      </c>
      <c r="DM67" s="1" t="s">
        <v>55</v>
      </c>
      <c r="DN67" s="1" t="s">
        <v>56</v>
      </c>
      <c r="DO67" s="8" t="s">
        <v>57</v>
      </c>
      <c r="DP67" s="8" t="s">
        <v>58</v>
      </c>
      <c r="DQ67" s="8" t="s">
        <v>59</v>
      </c>
      <c r="DR67" s="1"/>
    </row>
    <row r="68" spans="2:122" ht="15.75" x14ac:dyDescent="0.25">
      <c r="B68" s="135" t="s">
        <v>51</v>
      </c>
      <c r="C68" s="135">
        <f>$AB$28</f>
        <v>10.699999999999044</v>
      </c>
      <c r="D68" s="131" t="s">
        <v>31</v>
      </c>
      <c r="E68" s="132" t="str">
        <f t="shared" si="28"/>
        <v>WAIT</v>
      </c>
      <c r="F68" s="133">
        <f>AB31</f>
        <v>0.21973684210526961</v>
      </c>
      <c r="G68" s="127">
        <f t="shared" si="25"/>
        <v>5.5714285714285712</v>
      </c>
      <c r="H68" s="128">
        <f t="shared" si="26"/>
        <v>6.7142857142857144</v>
      </c>
      <c r="I68" s="130">
        <f t="shared" si="27"/>
        <v>-1.1428571428571432</v>
      </c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CE68" s="1"/>
      <c r="CF68" s="1" t="s">
        <v>120</v>
      </c>
      <c r="CG68" s="1" t="s">
        <v>121</v>
      </c>
      <c r="CH68" s="1" t="s">
        <v>122</v>
      </c>
      <c r="CI68" s="1" t="e">
        <f>[2]!'#MICEX'</f>
        <v>#NAME?</v>
      </c>
      <c r="CJ68" s="1" t="e">
        <f>[3]!'#MICEX'</f>
        <v>#NAME?</v>
      </c>
      <c r="CK68" s="1" t="e">
        <f>[4]!'#MICEX'</f>
        <v>#NAME?</v>
      </c>
      <c r="CL68" s="1" t="e">
        <f>[5]!'#MICEX'</f>
        <v>#NAME?</v>
      </c>
      <c r="CM68" s="4" t="e">
        <f>(100*(CK68-CJ68)/(CI68-CJ68))/100</f>
        <v>#NAME?</v>
      </c>
      <c r="CN68" s="4" t="e">
        <f>(CI68-CL68)/(CI68-CJ68)</f>
        <v>#NAME?</v>
      </c>
      <c r="CO68" s="4"/>
      <c r="CP68" s="1" t="b">
        <f t="shared" si="38"/>
        <v>1</v>
      </c>
      <c r="CQ68" s="4">
        <f>IF(CP68=FALSE,CM68,0%)</f>
        <v>0</v>
      </c>
      <c r="CR68" s="1" t="s">
        <v>120</v>
      </c>
      <c r="CS68" s="1"/>
      <c r="CT68" s="1" t="s">
        <v>121</v>
      </c>
      <c r="CU68" s="4">
        <f>CQ68</f>
        <v>0</v>
      </c>
      <c r="CV68" s="1"/>
      <c r="CW68" s="1"/>
      <c r="CX68" s="1">
        <v>5</v>
      </c>
      <c r="CY68" s="1" t="s">
        <v>123</v>
      </c>
      <c r="CZ68" s="3">
        <f>CM27</f>
        <v>0.78655199374511575</v>
      </c>
      <c r="DA68" s="1"/>
      <c r="DB68" s="3">
        <f>LARGE(CZ64:CZ78,5)</f>
        <v>0.78655199374511575</v>
      </c>
      <c r="DC68" s="1">
        <f>MATCH(DB68,CZ64:CZ78,0)</f>
        <v>5</v>
      </c>
      <c r="DD68" s="1" t="str">
        <f>VLOOKUP(DC68,CX64:CZ78,2,FALSE)</f>
        <v>EJ</v>
      </c>
      <c r="DE68" s="1"/>
      <c r="DF68" s="1"/>
      <c r="DG68" s="1"/>
      <c r="DH68" s="1"/>
      <c r="DI68" s="1"/>
      <c r="DJ68" s="1"/>
      <c r="DK68" s="1" t="s">
        <v>28</v>
      </c>
      <c r="DL68" s="1" t="e">
        <f>DD43</f>
        <v>#REF!</v>
      </c>
      <c r="DM68" s="1" t="e">
        <f>DE43</f>
        <v>#REF!</v>
      </c>
      <c r="DN68" s="8" t="e">
        <f t="shared" ref="DN68:DQ69" si="45">DF43</f>
        <v>#REF!</v>
      </c>
      <c r="DO68" s="8">
        <f t="shared" si="45"/>
        <v>104.29999999999939</v>
      </c>
      <c r="DP68" s="8" t="e">
        <f t="shared" si="45"/>
        <v>#REF!</v>
      </c>
      <c r="DQ68" s="8" t="e">
        <f t="shared" si="45"/>
        <v>#REF!</v>
      </c>
      <c r="DR68" s="1"/>
    </row>
    <row r="69" spans="2:122" ht="15.75" x14ac:dyDescent="0.25">
      <c r="B69" s="135" t="s">
        <v>51</v>
      </c>
      <c r="C69" s="134">
        <f>$AC$28</f>
        <v>11.600000000000499</v>
      </c>
      <c r="D69" s="131" t="s">
        <v>32</v>
      </c>
      <c r="E69" s="132" t="str">
        <f t="shared" si="28"/>
        <v>WAIT</v>
      </c>
      <c r="F69" s="133">
        <f>AC31</f>
        <v>0.66492829204693926</v>
      </c>
      <c r="G69" s="127">
        <f t="shared" si="25"/>
        <v>5.5714285714285712</v>
      </c>
      <c r="H69" s="128">
        <f t="shared" si="26"/>
        <v>4.1428571428571432</v>
      </c>
      <c r="I69" s="130">
        <f t="shared" si="27"/>
        <v>1.4285714285714279</v>
      </c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52"/>
      <c r="AH69" s="52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4"/>
      <c r="CR69" s="1" t="s">
        <v>124</v>
      </c>
      <c r="CS69" s="1"/>
      <c r="CT69" s="1" t="s">
        <v>125</v>
      </c>
      <c r="CU69" s="4">
        <f>CQ70</f>
        <v>0</v>
      </c>
      <c r="CV69" s="1"/>
      <c r="CW69" s="1"/>
      <c r="CX69" s="1">
        <v>6</v>
      </c>
      <c r="CY69" s="1" t="s">
        <v>126</v>
      </c>
      <c r="CZ69" s="3">
        <f>CM21</f>
        <v>0.15581395348837407</v>
      </c>
      <c r="DA69" s="1"/>
      <c r="DB69" s="3">
        <f>LARGE(CZ64:CZ78,6)</f>
        <v>0.66666666666666985</v>
      </c>
      <c r="DC69" s="1">
        <f>MATCH(DB69,CZ64:CZ78,0)</f>
        <v>9</v>
      </c>
      <c r="DD69" s="1" t="str">
        <f>VLOOKUP(DC69,CX64:CZ78,2,FALSE)</f>
        <v>ChfJ</v>
      </c>
      <c r="DE69" s="1"/>
      <c r="DF69" s="1"/>
      <c r="DG69" s="1"/>
      <c r="DH69" s="1"/>
      <c r="DI69" s="1"/>
      <c r="DJ69" s="1"/>
      <c r="DK69" s="1" t="s">
        <v>29</v>
      </c>
      <c r="DL69" s="1" t="e">
        <f>DD44</f>
        <v>#REF!</v>
      </c>
      <c r="DM69" s="1" t="e">
        <f>DE44</f>
        <v>#REF!</v>
      </c>
      <c r="DN69" s="8" t="e">
        <f t="shared" si="45"/>
        <v>#REF!</v>
      </c>
      <c r="DO69" s="8">
        <f t="shared" si="45"/>
        <v>176.2999999999991</v>
      </c>
      <c r="DP69" s="8" t="e">
        <f t="shared" si="45"/>
        <v>#REF!</v>
      </c>
      <c r="DQ69" s="8" t="e">
        <f t="shared" si="45"/>
        <v>#REF!</v>
      </c>
      <c r="DR69" s="1"/>
    </row>
    <row r="70" spans="2:122" ht="16.5" thickBot="1" x14ac:dyDescent="0.3">
      <c r="B70" s="138" t="s">
        <v>51</v>
      </c>
      <c r="C70" s="138">
        <f>$AD$28</f>
        <v>8.4000000000003183</v>
      </c>
      <c r="D70" s="139" t="s">
        <v>33</v>
      </c>
      <c r="E70" s="140" t="str">
        <f t="shared" si="28"/>
        <v>WAIT</v>
      </c>
      <c r="F70" s="141">
        <f>AD31</f>
        <v>0.82093517534537597</v>
      </c>
      <c r="G70" s="142">
        <f t="shared" si="25"/>
        <v>5.5714285714285712</v>
      </c>
      <c r="H70" s="143">
        <f t="shared" si="26"/>
        <v>2.7142857142857144</v>
      </c>
      <c r="I70" s="144">
        <f t="shared" si="27"/>
        <v>2.8571428571428568</v>
      </c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52"/>
      <c r="AH70" s="52"/>
      <c r="CE70" s="1" t="s">
        <v>127</v>
      </c>
      <c r="CF70" s="1" t="s">
        <v>124</v>
      </c>
      <c r="CG70" s="1" t="s">
        <v>125</v>
      </c>
      <c r="CH70" s="1" t="s">
        <v>125</v>
      </c>
      <c r="CI70" s="1" t="e">
        <f>[2]!'#FTSE'</f>
        <v>#NAME?</v>
      </c>
      <c r="CJ70" s="1" t="e">
        <f>[3]!'#FTSE'</f>
        <v>#NAME?</v>
      </c>
      <c r="CK70" s="1" t="e">
        <f>[4]!'#FTSE'</f>
        <v>#NAME?</v>
      </c>
      <c r="CL70" s="1" t="e">
        <f>[5]!'#FTSE'</f>
        <v>#NAME?</v>
      </c>
      <c r="CM70" s="4" t="e">
        <f>(100*(CK70-CJ70)/(CI70-CJ70))/100</f>
        <v>#NAME?</v>
      </c>
      <c r="CN70" s="4" t="e">
        <f>(CI70-CL70)/(CI70-CJ70)</f>
        <v>#NAME?</v>
      </c>
      <c r="CO70" s="1"/>
      <c r="CP70" s="1" t="b">
        <f t="shared" si="38"/>
        <v>1</v>
      </c>
      <c r="CQ70" s="4">
        <f>IF(CP70=FALSE,CM70,0%)</f>
        <v>0</v>
      </c>
      <c r="CR70" s="1" t="s">
        <v>128</v>
      </c>
      <c r="CS70" s="1"/>
      <c r="CT70" s="1" t="s">
        <v>129</v>
      </c>
      <c r="CU70" s="4">
        <f>CQ71</f>
        <v>0</v>
      </c>
      <c r="CV70" s="1"/>
      <c r="CW70" s="1"/>
      <c r="CX70" s="1">
        <v>7</v>
      </c>
      <c r="CY70" s="1" t="s">
        <v>130</v>
      </c>
      <c r="CZ70" s="3">
        <f>CM25</f>
        <v>0.42151675485010359</v>
      </c>
      <c r="DA70" s="1"/>
      <c r="DB70" s="3">
        <f>LARGE(CZ64:CZ78,7)</f>
        <v>0.66492829204693915</v>
      </c>
      <c r="DC70" s="1">
        <f>MATCH(DB70,CZ64:CZ78,0)</f>
        <v>8</v>
      </c>
      <c r="DD70" s="1" t="str">
        <f>VLOOKUP(DC70,CX64:CZ78,2,FALSE)</f>
        <v>UChf</v>
      </c>
      <c r="DE70" s="1"/>
      <c r="DF70" s="1"/>
      <c r="DG70" s="1"/>
      <c r="DH70" s="1"/>
      <c r="DI70" s="1"/>
      <c r="DJ70" s="1"/>
      <c r="DK70" s="1" t="s">
        <v>9</v>
      </c>
      <c r="DL70" s="1" t="e">
        <f t="shared" ref="DL70:DQ70" si="46">DL23</f>
        <v>#REF!</v>
      </c>
      <c r="DM70" s="1" t="e">
        <f t="shared" si="46"/>
        <v>#REF!</v>
      </c>
      <c r="DN70" s="8" t="e">
        <f t="shared" si="46"/>
        <v>#REF!</v>
      </c>
      <c r="DO70" s="8">
        <f t="shared" si="46"/>
        <v>266.50000000000063</v>
      </c>
      <c r="DP70" s="8" t="e">
        <f t="shared" si="46"/>
        <v>#REF!</v>
      </c>
      <c r="DQ70" s="8" t="e">
        <f t="shared" si="46"/>
        <v>#REF!</v>
      </c>
      <c r="DR70" s="1"/>
    </row>
    <row r="71" spans="2:122" x14ac:dyDescent="0.25">
      <c r="B71" s="51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/>
      <c r="AH71" s="52"/>
      <c r="CE71" s="1"/>
      <c r="CF71" s="1" t="s">
        <v>131</v>
      </c>
      <c r="CG71" s="1" t="s">
        <v>132</v>
      </c>
      <c r="CH71" s="1" t="s">
        <v>132</v>
      </c>
      <c r="CI71" s="1" t="e">
        <f>[2]!'#DAX'</f>
        <v>#NAME?</v>
      </c>
      <c r="CJ71" s="1" t="e">
        <f>[3]!'#DAX'</f>
        <v>#NAME?</v>
      </c>
      <c r="CK71" s="1" t="e">
        <f>[4]!'#DAX'</f>
        <v>#NAME?</v>
      </c>
      <c r="CL71" s="1" t="e">
        <f>[5]!'#DAX'</f>
        <v>#NAME?</v>
      </c>
      <c r="CM71" s="4" t="e">
        <f>(100*(CK71-CJ71)/(CI71-CJ71))/100</f>
        <v>#NAME?</v>
      </c>
      <c r="CN71" s="4" t="e">
        <f>(CI71-CL71)/(CI71-CJ71)</f>
        <v>#NAME?</v>
      </c>
      <c r="CO71" s="1"/>
      <c r="CP71" s="1" t="b">
        <f>ISERR(CM79)</f>
        <v>1</v>
      </c>
      <c r="CQ71" s="4">
        <f>IF(CP71=FALSE,CM79,0%)</f>
        <v>0</v>
      </c>
      <c r="CR71" s="1" t="s">
        <v>133</v>
      </c>
      <c r="CS71" s="1"/>
      <c r="CT71" s="1" t="s">
        <v>134</v>
      </c>
      <c r="CU71" s="4">
        <f>CQ72</f>
        <v>0</v>
      </c>
      <c r="CV71" s="1"/>
      <c r="CW71" s="1"/>
      <c r="CX71" s="1">
        <v>8</v>
      </c>
      <c r="CY71" s="1" t="s">
        <v>135</v>
      </c>
      <c r="CZ71" s="3">
        <f>CM47</f>
        <v>0.66492829204693915</v>
      </c>
      <c r="DA71" s="1"/>
      <c r="DB71" s="3">
        <f>LARGE(CZ64:CZ78,8)</f>
        <v>0.59814528593507632</v>
      </c>
      <c r="DC71" s="1">
        <f>MATCH(DB71,CZ64:CZ78,0)</f>
        <v>13</v>
      </c>
      <c r="DD71" s="1" t="str">
        <f>VLOOKUP(DC71,CX64:CZ78,2,FALSE)</f>
        <v>AU</v>
      </c>
      <c r="DE71" s="1"/>
      <c r="DF71" s="1"/>
      <c r="DG71" s="1"/>
      <c r="DH71" s="1"/>
      <c r="DI71" s="1"/>
      <c r="DJ71" s="1"/>
      <c r="DK71" s="1" t="s">
        <v>15</v>
      </c>
      <c r="DL71" s="1" t="e">
        <f t="shared" ref="DL71:DQ71" si="47">DL35</f>
        <v>#REF!</v>
      </c>
      <c r="DM71" s="1" t="e">
        <f t="shared" si="47"/>
        <v>#REF!</v>
      </c>
      <c r="DN71" s="8" t="e">
        <f t="shared" si="47"/>
        <v>#REF!</v>
      </c>
      <c r="DO71" s="8">
        <f t="shared" si="47"/>
        <v>279.50000000000142</v>
      </c>
      <c r="DP71" s="8" t="e">
        <f t="shared" si="47"/>
        <v>#REF!</v>
      </c>
      <c r="DQ71" s="8" t="e">
        <f t="shared" si="47"/>
        <v>#REF!</v>
      </c>
      <c r="DR71" s="1"/>
    </row>
    <row r="72" spans="2:122" x14ac:dyDescent="0.25">
      <c r="B72" s="51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CE72" s="1"/>
      <c r="CF72" s="1" t="s">
        <v>133</v>
      </c>
      <c r="CG72" s="1" t="s">
        <v>134</v>
      </c>
      <c r="CH72" s="1" t="s">
        <v>134</v>
      </c>
      <c r="CI72" s="1" t="e">
        <f>[2]!'#N100'</f>
        <v>#NAME?</v>
      </c>
      <c r="CJ72" s="1" t="e">
        <f>[3]!'#N100'</f>
        <v>#NAME?</v>
      </c>
      <c r="CK72" s="1" t="e">
        <f>[4]!'#N100'</f>
        <v>#NAME?</v>
      </c>
      <c r="CL72" s="1" t="e">
        <f>[5]!'#N100'</f>
        <v>#NAME?</v>
      </c>
      <c r="CM72" s="4" t="e">
        <f>(100*(CK72-CJ72)/(CI72-CJ72))/100</f>
        <v>#NAME?</v>
      </c>
      <c r="CN72" s="4" t="e">
        <f>(CI72-CL72)/(CI72-CJ72)</f>
        <v>#NAME?</v>
      </c>
      <c r="CO72" s="1"/>
      <c r="CP72" s="1" t="b">
        <f t="shared" si="38"/>
        <v>1</v>
      </c>
      <c r="CQ72" s="4">
        <f>IF(CP72=FALSE,CM72,0%)</f>
        <v>0</v>
      </c>
      <c r="CR72" s="1" t="s">
        <v>136</v>
      </c>
      <c r="CS72" s="1"/>
      <c r="CT72" s="1" t="s">
        <v>136</v>
      </c>
      <c r="CU72" s="4">
        <f>CQ73</f>
        <v>0</v>
      </c>
      <c r="CV72" s="1"/>
      <c r="CW72" s="1"/>
      <c r="CX72" s="1">
        <v>9</v>
      </c>
      <c r="CY72" s="1" t="s">
        <v>137</v>
      </c>
      <c r="CZ72" s="3">
        <f>CM45</f>
        <v>0.66666666666666985</v>
      </c>
      <c r="DA72" s="1"/>
      <c r="DB72" s="3">
        <f>LARGE(CZ64:CZ78,9)</f>
        <v>0.42151675485010359</v>
      </c>
      <c r="DC72" s="1">
        <f>MATCH(DB72,CZ64:CZ78,0)</f>
        <v>7</v>
      </c>
      <c r="DD72" s="1" t="str">
        <f>VLOOKUP(DC72,CX64:CZ78,2,FALSE)</f>
        <v>EChf</v>
      </c>
      <c r="DE72" s="1"/>
      <c r="DF72" s="1"/>
      <c r="DG72" s="1"/>
      <c r="DH72" s="1"/>
      <c r="DI72" s="1"/>
      <c r="DJ72" s="1"/>
      <c r="DK72" s="1" t="s">
        <v>20</v>
      </c>
      <c r="DL72" s="1" t="e">
        <f t="shared" ref="DL72:DQ72" si="48">DL45</f>
        <v>#REF!</v>
      </c>
      <c r="DM72" s="1" t="e">
        <f t="shared" si="48"/>
        <v>#REF!</v>
      </c>
      <c r="DN72" s="8" t="e">
        <f t="shared" si="48"/>
        <v>#REF!</v>
      </c>
      <c r="DO72" s="8">
        <f t="shared" si="48"/>
        <v>114.50000000000071</v>
      </c>
      <c r="DP72" s="8" t="e">
        <f t="shared" si="48"/>
        <v>#REF!</v>
      </c>
      <c r="DQ72" s="8" t="e">
        <f t="shared" si="48"/>
        <v>#REF!</v>
      </c>
      <c r="DR72" s="1"/>
    </row>
    <row r="73" spans="2:122" x14ac:dyDescent="0.25">
      <c r="CE73" s="1"/>
      <c r="CF73" s="1" t="s">
        <v>138</v>
      </c>
      <c r="CG73" s="1" t="s">
        <v>139</v>
      </c>
      <c r="CH73" s="1" t="s">
        <v>140</v>
      </c>
      <c r="CI73" s="1" t="e">
        <f>[2]!'#FTSE'</f>
        <v>#NAME?</v>
      </c>
      <c r="CJ73" s="1" t="e">
        <f>[3]!'#FTSE'</f>
        <v>#NAME?</v>
      </c>
      <c r="CK73" s="1" t="e">
        <f>[4]!'#FTSE'</f>
        <v>#NAME?</v>
      </c>
      <c r="CL73" s="1" t="e">
        <f>[5]!'#FTSE'</f>
        <v>#NAME?</v>
      </c>
      <c r="CM73" s="4" t="e">
        <f>(100*(CK73-CJ73)/(CI73-CJ73))/100</f>
        <v>#NAME?</v>
      </c>
      <c r="CN73" s="4" t="e">
        <f>(CI73-CL73)/(CI73-CJ73)</f>
        <v>#NAME?</v>
      </c>
      <c r="CO73" s="1"/>
      <c r="CP73" s="1" t="b">
        <f t="shared" si="38"/>
        <v>1</v>
      </c>
      <c r="CQ73" s="4">
        <f>IF(CP73=FALSE,CM73,0%)</f>
        <v>0</v>
      </c>
      <c r="CR73" s="1" t="s">
        <v>141</v>
      </c>
      <c r="CS73" s="1"/>
      <c r="CT73" s="1" t="s">
        <v>141</v>
      </c>
      <c r="CU73" s="4">
        <f>CQ74</f>
        <v>0</v>
      </c>
      <c r="CV73" s="1"/>
      <c r="CW73" s="1"/>
      <c r="CX73" s="1">
        <v>10</v>
      </c>
      <c r="CY73" s="1" t="s">
        <v>142</v>
      </c>
      <c r="CZ73" s="3">
        <f>CM46</f>
        <v>0.21973684210526961</v>
      </c>
      <c r="DA73" s="1"/>
      <c r="DB73" s="3">
        <f>LARGE(CZ64:CZ78,10)</f>
        <v>0.39465408805031438</v>
      </c>
      <c r="DC73" s="1">
        <f>MATCH(DB73,CZ64:CZ78,0)</f>
        <v>2</v>
      </c>
      <c r="DD73" s="1" t="str">
        <f>VLOOKUP(DC73,CX64:CZ78,2,FALSE)</f>
        <v>GU</v>
      </c>
      <c r="DE73" s="1"/>
      <c r="DF73" s="1"/>
      <c r="DG73" s="1"/>
      <c r="DH73" s="1"/>
      <c r="DI73" s="1"/>
      <c r="DJ73" s="1"/>
      <c r="DK73" s="1" t="s">
        <v>24</v>
      </c>
      <c r="DL73" s="1" t="e">
        <f t="shared" ref="DL73:DQ73" si="49">DL56</f>
        <v>#REF!</v>
      </c>
      <c r="DM73" s="1" t="e">
        <f t="shared" si="49"/>
        <v>#REF!</v>
      </c>
      <c r="DN73" s="8" t="e">
        <f t="shared" si="49"/>
        <v>#REF!</v>
      </c>
      <c r="DO73" s="8">
        <f t="shared" si="49"/>
        <v>225.30000000000049</v>
      </c>
      <c r="DP73" s="8" t="e">
        <f t="shared" si="49"/>
        <v>#REF!</v>
      </c>
      <c r="DQ73" s="8" t="e">
        <f t="shared" si="49"/>
        <v>#REF!</v>
      </c>
      <c r="DR73" s="1"/>
    </row>
    <row r="74" spans="2:122" x14ac:dyDescent="0.25">
      <c r="CE74" s="1"/>
      <c r="CF74" s="1" t="s">
        <v>141</v>
      </c>
      <c r="CG74" s="1" t="s">
        <v>143</v>
      </c>
      <c r="CH74" s="1" t="s">
        <v>143</v>
      </c>
      <c r="CI74" s="1" t="e">
        <f>[2]!'#CHMF'</f>
        <v>#NAME?</v>
      </c>
      <c r="CJ74" s="1" t="e">
        <f>[3]!'#CHMF'</f>
        <v>#NAME?</v>
      </c>
      <c r="CK74" s="1" t="e">
        <f>[4]!'#CHMF'</f>
        <v>#NAME?</v>
      </c>
      <c r="CL74" s="1" t="e">
        <f>[5]!'#CHMF'</f>
        <v>#NAME?</v>
      </c>
      <c r="CM74" s="4" t="e">
        <f>(100*(CK74-CJ74)/(CI74-CJ74))/100</f>
        <v>#NAME?</v>
      </c>
      <c r="CN74" s="4" t="e">
        <f>(CI74-CL74)/(CI74-CJ74)</f>
        <v>#NAME?</v>
      </c>
      <c r="CO74" s="4"/>
      <c r="CP74" s="1" t="b">
        <f t="shared" si="38"/>
        <v>1</v>
      </c>
      <c r="CQ74" s="4">
        <f>IF(CP74=FALSE,CM74,0%)</f>
        <v>0</v>
      </c>
      <c r="CR74" s="1" t="s">
        <v>144</v>
      </c>
      <c r="CS74" s="1"/>
      <c r="CT74" s="1" t="s">
        <v>145</v>
      </c>
      <c r="CU74" s="4">
        <f t="shared" ref="CU74:CU82" si="50">CQ76</f>
        <v>0</v>
      </c>
      <c r="CV74" s="1"/>
      <c r="CW74" s="1"/>
      <c r="CX74" s="1">
        <v>11</v>
      </c>
      <c r="CY74" s="1" t="s">
        <v>146</v>
      </c>
      <c r="CZ74" s="3">
        <f>CM44</f>
        <v>0.81111741349971633</v>
      </c>
      <c r="DA74" s="1"/>
      <c r="DB74" s="3">
        <f>LARGE(CZ64:CZ78,11)</f>
        <v>0.32871720116617598</v>
      </c>
      <c r="DC74" s="1">
        <f>MATCH(DB74,CZ64:CZ78,0)</f>
        <v>15</v>
      </c>
      <c r="DD74" s="1" t="str">
        <f>VLOOKUP(DC74,CX64:CZ78,2,FALSE)</f>
        <v>NJ</v>
      </c>
      <c r="DE74" s="1"/>
      <c r="DF74" s="1"/>
      <c r="DG74" s="1"/>
      <c r="DH74" s="1"/>
      <c r="DI74" s="1"/>
      <c r="DJ74" s="1"/>
      <c r="DK74" s="1" t="s">
        <v>31</v>
      </c>
      <c r="DL74" s="1" t="e">
        <f t="shared" ref="DL74:DQ74" si="51">DD46</f>
        <v>#REF!</v>
      </c>
      <c r="DM74" s="1" t="e">
        <f t="shared" si="51"/>
        <v>#REF!</v>
      </c>
      <c r="DN74" s="8" t="e">
        <f t="shared" si="51"/>
        <v>#REF!</v>
      </c>
      <c r="DO74" s="8">
        <f t="shared" si="51"/>
        <v>152.00000000000102</v>
      </c>
      <c r="DP74" s="8" t="e">
        <f t="shared" si="51"/>
        <v>#REF!</v>
      </c>
      <c r="DQ74" s="8" t="e">
        <f t="shared" si="51"/>
        <v>#REF!</v>
      </c>
      <c r="DR74" s="1"/>
    </row>
    <row r="75" spans="2:122" x14ac:dyDescent="0.25"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4"/>
      <c r="CR75" s="1" t="s">
        <v>147</v>
      </c>
      <c r="CS75" s="1"/>
      <c r="CT75" s="1" t="s">
        <v>148</v>
      </c>
      <c r="CU75" s="4">
        <f t="shared" si="50"/>
        <v>0</v>
      </c>
      <c r="CV75" s="1"/>
      <c r="CW75" s="1"/>
      <c r="CX75" s="1">
        <v>12</v>
      </c>
      <c r="CY75" s="1" t="s">
        <v>149</v>
      </c>
      <c r="CZ75" s="3">
        <f>CM38</f>
        <v>0.80087527352297805</v>
      </c>
      <c r="DA75" s="1"/>
      <c r="DB75" s="3">
        <f>LARGE(CZ64:CZ78,12)</f>
        <v>0.3266499582289113</v>
      </c>
      <c r="DC75" s="1">
        <f>MATCH(DB75,CZ64:CZ78,0)</f>
        <v>4</v>
      </c>
      <c r="DD75" s="1" t="str">
        <f>VLOOKUP(DC75,CX64:CZ78,2,FALSE)</f>
        <v>EU</v>
      </c>
      <c r="DE75" s="1"/>
      <c r="DF75" s="1"/>
      <c r="DG75" s="1"/>
      <c r="DH75" s="1"/>
      <c r="DI75" s="1"/>
      <c r="DJ75" s="1"/>
      <c r="DK75" s="1"/>
      <c r="DL75" s="1" t="e">
        <f t="shared" ref="DL75:DQ75" si="52">SUM(DL68:DL74)</f>
        <v>#REF!</v>
      </c>
      <c r="DM75" s="1" t="e">
        <f t="shared" si="52"/>
        <v>#REF!</v>
      </c>
      <c r="DN75" s="8" t="e">
        <f t="shared" si="52"/>
        <v>#REF!</v>
      </c>
      <c r="DO75" s="8">
        <f t="shared" si="52"/>
        <v>1318.4000000000028</v>
      </c>
      <c r="DP75" s="8" t="e">
        <f t="shared" si="52"/>
        <v>#REF!</v>
      </c>
      <c r="DQ75" s="8" t="e">
        <f t="shared" si="52"/>
        <v>#REF!</v>
      </c>
      <c r="DR75" s="1"/>
    </row>
    <row r="76" spans="2:122" x14ac:dyDescent="0.25">
      <c r="CE76" s="1" t="s">
        <v>150</v>
      </c>
      <c r="CF76" s="1" t="s">
        <v>144</v>
      </c>
      <c r="CG76" s="1" t="s">
        <v>145</v>
      </c>
      <c r="CH76" s="1" t="s">
        <v>145</v>
      </c>
      <c r="CI76" s="1" t="e">
        <f>[2]!'#TRNFP'</f>
        <v>#NAME?</v>
      </c>
      <c r="CJ76" s="1" t="e">
        <f>[3]!'#TRNFP'</f>
        <v>#NAME?</v>
      </c>
      <c r="CK76" s="1" t="e">
        <f>[4]!'#TRNFP'</f>
        <v>#NAME?</v>
      </c>
      <c r="CL76" s="1" t="e">
        <f>[5]!'#TRNFP'</f>
        <v>#NAME?</v>
      </c>
      <c r="CM76" s="4" t="e">
        <f t="shared" ref="CM76:CM84" si="53">(100*(CK76-CJ76)/(CI76-CJ76))/100</f>
        <v>#NAME?</v>
      </c>
      <c r="CN76" s="4" t="e">
        <f t="shared" ref="CN76:CN84" si="54">(CI76-CL76)/(CI76-CJ76)</f>
        <v>#NAME?</v>
      </c>
      <c r="CO76" s="1"/>
      <c r="CP76" s="1" t="b">
        <f t="shared" si="38"/>
        <v>1</v>
      </c>
      <c r="CQ76" s="4">
        <f t="shared" ref="CQ76:CQ84" si="55">IF(CP76=FALSE,CM76,0%)</f>
        <v>0</v>
      </c>
      <c r="CR76" s="1" t="s">
        <v>138</v>
      </c>
      <c r="CS76" s="1"/>
      <c r="CT76" s="1" t="s">
        <v>139</v>
      </c>
      <c r="CU76" s="4">
        <f t="shared" si="50"/>
        <v>0</v>
      </c>
      <c r="CV76" s="1"/>
      <c r="CW76" s="1"/>
      <c r="CX76" s="1">
        <v>13</v>
      </c>
      <c r="CY76" s="1" t="s">
        <v>151</v>
      </c>
      <c r="CZ76" s="3">
        <f>CM37</f>
        <v>0.59814528593507632</v>
      </c>
      <c r="DA76" s="1"/>
      <c r="DB76" s="3">
        <f>LARGE(CZ64:CZ78,13)</f>
        <v>0.21973684210526961</v>
      </c>
      <c r="DC76" s="1">
        <f>MATCH(DB76,CZ64:CZ78,0)</f>
        <v>10</v>
      </c>
      <c r="DD76" s="1" t="str">
        <f>VLOOKUP(DC76,CX64:CZ78,2,FALSE)</f>
        <v>UCad</v>
      </c>
      <c r="DE76" s="1"/>
      <c r="DF76" s="1"/>
      <c r="DG76" s="1"/>
      <c r="DH76" s="1"/>
      <c r="DI76" s="1"/>
      <c r="DJ76" s="1"/>
      <c r="DK76" s="1" t="s">
        <v>60</v>
      </c>
      <c r="DL76" s="1"/>
      <c r="DM76" s="1"/>
      <c r="DN76" s="8" t="e">
        <f>SUM(DP75+DN75)</f>
        <v>#REF!</v>
      </c>
      <c r="DO76" s="8"/>
      <c r="DP76" s="8"/>
      <c r="DQ76" s="8"/>
      <c r="DR76" s="1"/>
    </row>
    <row r="77" spans="2:122" x14ac:dyDescent="0.25">
      <c r="CE77" s="1"/>
      <c r="CF77" s="1" t="s">
        <v>147</v>
      </c>
      <c r="CG77" s="1" t="s">
        <v>148</v>
      </c>
      <c r="CH77" s="1" t="s">
        <v>148</v>
      </c>
      <c r="CI77" s="1" t="e">
        <f>[2]!'#FEES'</f>
        <v>#NAME?</v>
      </c>
      <c r="CJ77" s="1" t="e">
        <f>[3]!'#FEES'</f>
        <v>#NAME?</v>
      </c>
      <c r="CK77" s="1" t="e">
        <f>[4]!'#FEES'</f>
        <v>#NAME?</v>
      </c>
      <c r="CL77" s="1" t="e">
        <f>[5]!'#FEES'</f>
        <v>#NAME?</v>
      </c>
      <c r="CM77" s="4" t="e">
        <f t="shared" si="53"/>
        <v>#NAME?</v>
      </c>
      <c r="CN77" s="4" t="e">
        <f t="shared" si="54"/>
        <v>#NAME?</v>
      </c>
      <c r="CO77" s="1"/>
      <c r="CP77" s="1" t="b">
        <f t="shared" si="38"/>
        <v>1</v>
      </c>
      <c r="CQ77" s="4">
        <f t="shared" si="55"/>
        <v>0</v>
      </c>
      <c r="CR77" s="1" t="s">
        <v>131</v>
      </c>
      <c r="CS77" s="1"/>
      <c r="CT77" s="1" t="s">
        <v>132</v>
      </c>
      <c r="CU77" s="4">
        <f t="shared" si="50"/>
        <v>0</v>
      </c>
      <c r="CV77" s="1"/>
      <c r="CW77" s="1"/>
      <c r="CX77" s="1">
        <v>14</v>
      </c>
      <c r="CY77" s="1" t="s">
        <v>152</v>
      </c>
      <c r="CZ77" s="3">
        <f>CM41</f>
        <v>7.460317460317839E-2</v>
      </c>
      <c r="DA77" s="1"/>
      <c r="DB77" s="3">
        <f>LARGE(CZ64:CZ78,14)</f>
        <v>0.15581395348837407</v>
      </c>
      <c r="DC77" s="1">
        <f>MATCH(DB77,CZ64:CZ78,0)</f>
        <v>6</v>
      </c>
      <c r="DD77" s="1" t="str">
        <f>VLOOKUP(DC77,CX64:CZ78,2,FALSE)</f>
        <v>EG</v>
      </c>
      <c r="DE77" s="1"/>
      <c r="DF77" s="1"/>
      <c r="DG77" s="1"/>
      <c r="DH77" s="1"/>
      <c r="DI77" s="1"/>
      <c r="DJ77" s="1"/>
      <c r="DK77" s="1" t="s">
        <v>61</v>
      </c>
      <c r="DL77" s="1"/>
      <c r="DM77" s="1"/>
      <c r="DN77" s="8" t="e">
        <f>SUM(DQ75-DN75)*-1</f>
        <v>#REF!</v>
      </c>
      <c r="DO77" s="8"/>
      <c r="DP77" s="8"/>
      <c r="DQ77" s="8"/>
      <c r="DR77" s="1"/>
    </row>
    <row r="78" spans="2:122" x14ac:dyDescent="0.25">
      <c r="CE78" s="1"/>
      <c r="CF78" s="1" t="s">
        <v>136</v>
      </c>
      <c r="CG78" s="1" t="s">
        <v>139</v>
      </c>
      <c r="CH78" s="1" t="s">
        <v>139</v>
      </c>
      <c r="CI78" s="1" t="e">
        <f>[2]!'#FTSE'</f>
        <v>#NAME?</v>
      </c>
      <c r="CJ78" s="1" t="e">
        <f>[3]!'#FTSE'</f>
        <v>#NAME?</v>
      </c>
      <c r="CK78" s="1" t="e">
        <f>[4]!'#FTSE'</f>
        <v>#NAME?</v>
      </c>
      <c r="CL78" s="1" t="e">
        <f>[5]!'#FTSE'</f>
        <v>#NAME?</v>
      </c>
      <c r="CM78" s="4" t="e">
        <f>(100*(CK73-CJ73)/(CI73-CJ73))/100</f>
        <v>#NAME?</v>
      </c>
      <c r="CN78" s="4" t="e">
        <f>(CI73-CL73)/(CI73-CJ73)</f>
        <v>#NAME?</v>
      </c>
      <c r="CO78" s="1"/>
      <c r="CP78" s="1" t="b">
        <f t="shared" si="38"/>
        <v>1</v>
      </c>
      <c r="CQ78" s="4">
        <f t="shared" si="55"/>
        <v>0</v>
      </c>
      <c r="CR78" s="1" t="s">
        <v>153</v>
      </c>
      <c r="CS78" s="1"/>
      <c r="CT78" s="1" t="s">
        <v>143</v>
      </c>
      <c r="CU78" s="4">
        <f t="shared" si="50"/>
        <v>0</v>
      </c>
      <c r="CV78" s="1"/>
      <c r="CW78" s="1"/>
      <c r="CX78" s="1">
        <v>15</v>
      </c>
      <c r="CY78" s="1" t="s">
        <v>154</v>
      </c>
      <c r="CZ78" s="3">
        <f>CM42</f>
        <v>0.32871720116617598</v>
      </c>
      <c r="DA78" s="1"/>
      <c r="DB78" s="3">
        <f>LARGE(CZ64:CZ78,15)</f>
        <v>7.460317460317839E-2</v>
      </c>
      <c r="DC78" s="1">
        <f>MATCH(DB78,CZ64:CZ78,0)</f>
        <v>14</v>
      </c>
      <c r="DD78" s="1" t="str">
        <f>VLOOKUP(DC78,CX64:CZ78,2,FALSE)</f>
        <v>NU</v>
      </c>
      <c r="DE78" s="1"/>
      <c r="DF78" s="1"/>
      <c r="DG78" s="1"/>
      <c r="DH78" s="1"/>
      <c r="DI78" s="1"/>
      <c r="DJ78" s="1"/>
      <c r="DK78" s="1"/>
      <c r="DL78" s="1"/>
      <c r="DM78" s="1"/>
      <c r="DN78" s="8"/>
      <c r="DO78" s="8"/>
      <c r="DP78" s="8"/>
      <c r="DQ78" s="8"/>
      <c r="DR78" s="1"/>
    </row>
    <row r="79" spans="2:122" x14ac:dyDescent="0.25">
      <c r="CE79" s="1"/>
      <c r="CF79" s="1" t="s">
        <v>155</v>
      </c>
      <c r="CG79" s="1" t="s">
        <v>156</v>
      </c>
      <c r="CH79" s="1" t="s">
        <v>156</v>
      </c>
      <c r="CI79" s="1" t="e">
        <f>[2]!'#DAX'</f>
        <v>#NAME?</v>
      </c>
      <c r="CJ79" s="1" t="e">
        <f>[3]!'#DAX'</f>
        <v>#NAME?</v>
      </c>
      <c r="CK79" s="1" t="e">
        <f>[4]!'#DAX'</f>
        <v>#NAME?</v>
      </c>
      <c r="CL79" s="1" t="e">
        <f>[5]!'#DAX'</f>
        <v>#NAME?</v>
      </c>
      <c r="CM79" s="4" t="e">
        <f t="shared" si="53"/>
        <v>#NAME?</v>
      </c>
      <c r="CN79" s="4" t="e">
        <f t="shared" si="54"/>
        <v>#NAME?</v>
      </c>
      <c r="CO79" s="1"/>
      <c r="CP79" s="1" t="b">
        <f>ISERR(CM71)</f>
        <v>1</v>
      </c>
      <c r="CQ79" s="4">
        <f>IF(CP79=FALSE,CM71,0%)</f>
        <v>0</v>
      </c>
      <c r="CR79" s="1" t="s">
        <v>157</v>
      </c>
      <c r="CS79" s="1"/>
      <c r="CT79" s="1" t="s">
        <v>158</v>
      </c>
      <c r="CU79" s="4">
        <f t="shared" si="50"/>
        <v>0</v>
      </c>
      <c r="CV79" s="1"/>
      <c r="CW79" s="1"/>
      <c r="CX79" s="1"/>
      <c r="CY79" s="1"/>
      <c r="CZ79" s="1"/>
      <c r="DA79" s="1"/>
      <c r="DB79" s="6"/>
      <c r="DC79" s="1"/>
      <c r="DD79" s="1"/>
      <c r="DE79" s="1"/>
      <c r="DF79" s="1"/>
      <c r="DG79" s="1"/>
      <c r="DH79" s="1"/>
      <c r="DI79" s="1"/>
      <c r="DJ79" s="1"/>
      <c r="DK79" s="5" t="s">
        <v>159</v>
      </c>
      <c r="DL79" s="1" t="s">
        <v>54</v>
      </c>
      <c r="DM79" s="1" t="s">
        <v>55</v>
      </c>
      <c r="DN79" s="1" t="s">
        <v>56</v>
      </c>
      <c r="DO79" s="8" t="s">
        <v>57</v>
      </c>
      <c r="DP79" s="8" t="s">
        <v>58</v>
      </c>
      <c r="DQ79" s="8" t="s">
        <v>59</v>
      </c>
      <c r="DR79" s="1"/>
    </row>
    <row r="80" spans="2:122" x14ac:dyDescent="0.25">
      <c r="CE80" s="1"/>
      <c r="CF80" s="1" t="s">
        <v>160</v>
      </c>
      <c r="CG80" s="1" t="s">
        <v>161</v>
      </c>
      <c r="CH80" s="1" t="s">
        <v>161</v>
      </c>
      <c r="CI80" s="1" t="e">
        <f>[2]!'#PLZL'</f>
        <v>#NAME?</v>
      </c>
      <c r="CJ80" s="1" t="e">
        <f>[3]!'#PLZL'</f>
        <v>#NAME?</v>
      </c>
      <c r="CK80" s="1" t="e">
        <f>[4]!'#PLZL'</f>
        <v>#NAME?</v>
      </c>
      <c r="CL80" s="1" t="e">
        <f>[5]!'#PLZL'</f>
        <v>#NAME?</v>
      </c>
      <c r="CM80" s="4" t="e">
        <f>(100*(CK80-CJ80)/(CI80-CJ80))/100</f>
        <v>#NAME?</v>
      </c>
      <c r="CN80" s="4" t="e">
        <f>(CI80-CL80)/(CI80-CJ80)</f>
        <v>#NAME?</v>
      </c>
      <c r="CO80" s="1"/>
      <c r="CP80" s="1" t="b">
        <f t="shared" si="38"/>
        <v>1</v>
      </c>
      <c r="CQ80" s="4">
        <f t="shared" si="55"/>
        <v>0</v>
      </c>
      <c r="CR80" s="1" t="s">
        <v>162</v>
      </c>
      <c r="CS80" s="1"/>
      <c r="CT80" s="1" t="s">
        <v>163</v>
      </c>
      <c r="CU80" s="4">
        <f t="shared" si="50"/>
        <v>0</v>
      </c>
      <c r="CV80" s="1"/>
      <c r="CW80" s="1"/>
      <c r="CX80" s="1">
        <v>1</v>
      </c>
      <c r="CY80" s="6">
        <f>CN33</f>
        <v>0.13618677042801136</v>
      </c>
      <c r="CZ80" s="6">
        <f>CM33</f>
        <v>0.7866407263294467</v>
      </c>
      <c r="DA80" s="1"/>
      <c r="DB80" s="6">
        <f>LARGE(CZ80:CZ94,1)</f>
        <v>0.82093517534537597</v>
      </c>
      <c r="DC80" s="1">
        <f>MATCH(DB80,CZ80:CZ94,0)</f>
        <v>3</v>
      </c>
      <c r="DD80" s="6">
        <f>VLOOKUP(DC80,CX80:CZ94,2,FALSE)</f>
        <v>0.13443145589798058</v>
      </c>
      <c r="DE80" s="1"/>
      <c r="DF80" s="1"/>
      <c r="DG80" s="1"/>
      <c r="DH80" s="1"/>
      <c r="DI80" s="1"/>
      <c r="DJ80" s="1"/>
      <c r="DK80" s="1" t="s">
        <v>30</v>
      </c>
      <c r="DL80" s="1" t="e">
        <f t="shared" ref="DL80:DQ80" si="56">DD45</f>
        <v>#REF!</v>
      </c>
      <c r="DM80" s="1" t="e">
        <f t="shared" si="56"/>
        <v>#REF!</v>
      </c>
      <c r="DN80" s="8" t="e">
        <f t="shared" si="56"/>
        <v>#REF!</v>
      </c>
      <c r="DO80" s="8">
        <f t="shared" si="56"/>
        <v>147.89999999999992</v>
      </c>
      <c r="DP80" s="8" t="e">
        <f t="shared" si="56"/>
        <v>#REF!</v>
      </c>
      <c r="DQ80" s="8" t="e">
        <f t="shared" si="56"/>
        <v>#REF!</v>
      </c>
      <c r="DR80" s="1"/>
    </row>
    <row r="81" spans="83:122" x14ac:dyDescent="0.25">
      <c r="CE81" s="1"/>
      <c r="CF81" s="1" t="s">
        <v>157</v>
      </c>
      <c r="CG81" s="1" t="s">
        <v>158</v>
      </c>
      <c r="CH81" s="1" t="s">
        <v>158</v>
      </c>
      <c r="CI81" s="1" t="e">
        <f>[2]!'#N100'</f>
        <v>#NAME?</v>
      </c>
      <c r="CJ81" s="1" t="e">
        <f>[3]!'#N100'</f>
        <v>#NAME?</v>
      </c>
      <c r="CK81" s="1" t="e">
        <f>[4]!'#N100'</f>
        <v>#NAME?</v>
      </c>
      <c r="CL81" s="1" t="e">
        <f>[5]!'#N100'</f>
        <v>#NAME?</v>
      </c>
      <c r="CM81" s="4" t="e">
        <f t="shared" si="53"/>
        <v>#NAME?</v>
      </c>
      <c r="CN81" s="4" t="e">
        <f t="shared" si="54"/>
        <v>#NAME?</v>
      </c>
      <c r="CO81" s="1"/>
      <c r="CP81" s="1" t="b">
        <f t="shared" si="38"/>
        <v>1</v>
      </c>
      <c r="CQ81" s="4">
        <f t="shared" si="55"/>
        <v>0</v>
      </c>
      <c r="CR81" s="1" t="s">
        <v>164</v>
      </c>
      <c r="CS81" s="1"/>
      <c r="CT81" s="1" t="s">
        <v>165</v>
      </c>
      <c r="CU81" s="4">
        <f t="shared" si="50"/>
        <v>0</v>
      </c>
      <c r="CV81" s="1"/>
      <c r="CW81" s="1"/>
      <c r="CX81" s="1">
        <v>2</v>
      </c>
      <c r="CY81" s="6">
        <f>CN32</f>
        <v>0.44575471698113484</v>
      </c>
      <c r="CZ81" s="6">
        <f>CM32</f>
        <v>0.39465408805031438</v>
      </c>
      <c r="DA81" s="1"/>
      <c r="DB81" s="6">
        <f>LARGE(CZ80:CZ94,2)</f>
        <v>0.81111741349971633</v>
      </c>
      <c r="DC81" s="1">
        <f>MATCH(DB81,CZ80:CZ94,0)</f>
        <v>11</v>
      </c>
      <c r="DD81" s="6">
        <f>VLOOKUP(DC81,CX80:CZ94,2,FALSE)</f>
        <v>0.12932501418037187</v>
      </c>
      <c r="DE81" s="1"/>
      <c r="DF81" s="1"/>
      <c r="DG81" s="1"/>
      <c r="DH81" s="1"/>
      <c r="DI81" s="1"/>
      <c r="DJ81" s="1"/>
      <c r="DK81" s="1" t="s">
        <v>10</v>
      </c>
      <c r="DL81" s="1" t="e">
        <f t="shared" ref="DL81:DQ81" si="57">DL24</f>
        <v>#REF!</v>
      </c>
      <c r="DM81" s="1" t="e">
        <f t="shared" si="57"/>
        <v>#REF!</v>
      </c>
      <c r="DN81" s="8" t="e">
        <f t="shared" si="57"/>
        <v>#REF!</v>
      </c>
      <c r="DO81" s="8">
        <f t="shared" si="57"/>
        <v>56.700000000000642</v>
      </c>
      <c r="DP81" s="8" t="e">
        <f t="shared" si="57"/>
        <v>#REF!</v>
      </c>
      <c r="DQ81" s="8" t="e">
        <f t="shared" si="57"/>
        <v>#REF!</v>
      </c>
      <c r="DR81" s="1"/>
    </row>
    <row r="82" spans="83:122" x14ac:dyDescent="0.25">
      <c r="CE82" s="1"/>
      <c r="CF82" s="1" t="s">
        <v>162</v>
      </c>
      <c r="CG82" s="1" t="s">
        <v>163</v>
      </c>
      <c r="CH82" s="1" t="s">
        <v>163</v>
      </c>
      <c r="CI82" s="1" t="e">
        <f>[2]!'#DAX'</f>
        <v>#NAME?</v>
      </c>
      <c r="CJ82" s="1" t="e">
        <f>[3]!'#DAX'</f>
        <v>#NAME?</v>
      </c>
      <c r="CK82" s="1" t="e">
        <f>[4]!'#DAX'</f>
        <v>#NAME?</v>
      </c>
      <c r="CL82" s="1" t="e">
        <f>[5]!'#DAX'</f>
        <v>#NAME?</v>
      </c>
      <c r="CM82" s="4" t="e">
        <f t="shared" si="53"/>
        <v>#NAME?</v>
      </c>
      <c r="CN82" s="4" t="e">
        <f t="shared" si="54"/>
        <v>#NAME?</v>
      </c>
      <c r="CO82" s="1"/>
      <c r="CP82" s="1" t="b">
        <f t="shared" si="38"/>
        <v>1</v>
      </c>
      <c r="CQ82" s="4">
        <f t="shared" si="55"/>
        <v>0</v>
      </c>
      <c r="CR82" s="1" t="s">
        <v>166</v>
      </c>
      <c r="CS82" s="1"/>
      <c r="CT82" s="1" t="s">
        <v>167</v>
      </c>
      <c r="CU82" s="4">
        <f t="shared" si="50"/>
        <v>0</v>
      </c>
      <c r="CV82" s="1"/>
      <c r="CW82" s="1"/>
      <c r="CX82" s="1">
        <v>3</v>
      </c>
      <c r="CY82" s="6">
        <f>CN48</f>
        <v>0.13443145589798058</v>
      </c>
      <c r="CZ82" s="6">
        <f>CM48</f>
        <v>0.82093517534537597</v>
      </c>
      <c r="DA82" s="1"/>
      <c r="DB82" s="6">
        <f>LARGE(CZ80:CZ94,3)</f>
        <v>0.80087527352297805</v>
      </c>
      <c r="DC82" s="1">
        <f>MATCH(DB82,CZ80:CZ94,0)</f>
        <v>12</v>
      </c>
      <c r="DD82" s="6">
        <f>VLOOKUP(DC82,CX80:CZ94,2,FALSE)</f>
        <v>6.6374908825670528E-2</v>
      </c>
      <c r="DE82" s="1"/>
      <c r="DF82" s="1"/>
      <c r="DG82" s="1"/>
      <c r="DH82" s="1"/>
      <c r="DI82" s="1"/>
      <c r="DJ82" s="1"/>
      <c r="DK82" s="1" t="s">
        <v>16</v>
      </c>
      <c r="DL82" s="1" t="e">
        <f t="shared" ref="DL82:DQ82" si="58">DL36</f>
        <v>#REF!</v>
      </c>
      <c r="DM82" s="1" t="e">
        <f t="shared" si="58"/>
        <v>#REF!</v>
      </c>
      <c r="DN82" s="8" t="e">
        <f t="shared" si="58"/>
        <v>#REF!</v>
      </c>
      <c r="DO82" s="8">
        <f t="shared" si="58"/>
        <v>150.79999999999981</v>
      </c>
      <c r="DP82" s="8" t="e">
        <f t="shared" si="58"/>
        <v>#REF!</v>
      </c>
      <c r="DQ82" s="8" t="e">
        <f t="shared" si="58"/>
        <v>#REF!</v>
      </c>
      <c r="DR82" s="1"/>
    </row>
    <row r="83" spans="83:122" x14ac:dyDescent="0.25">
      <c r="CE83" s="1"/>
      <c r="CF83" s="1" t="s">
        <v>164</v>
      </c>
      <c r="CG83" s="1" t="s">
        <v>165</v>
      </c>
      <c r="CH83" s="1" t="s">
        <v>165</v>
      </c>
      <c r="CI83" s="1" t="e">
        <f>[2]!'#MICEX'</f>
        <v>#NAME?</v>
      </c>
      <c r="CJ83" s="1" t="e">
        <f>[3]!'#MICEX'</f>
        <v>#NAME?</v>
      </c>
      <c r="CK83" s="1" t="e">
        <f>[4]!'#MICEX'</f>
        <v>#NAME?</v>
      </c>
      <c r="CL83" s="1" t="e">
        <f>[5]!'#MICEX'</f>
        <v>#NAME?</v>
      </c>
      <c r="CM83" s="4" t="e">
        <f t="shared" si="53"/>
        <v>#NAME?</v>
      </c>
      <c r="CN83" s="4" t="e">
        <f t="shared" si="54"/>
        <v>#NAME?</v>
      </c>
      <c r="CO83" s="1"/>
      <c r="CP83" s="1" t="b">
        <f t="shared" si="38"/>
        <v>1</v>
      </c>
      <c r="CQ83" s="4">
        <f t="shared" si="55"/>
        <v>0</v>
      </c>
      <c r="CR83" s="1" t="s">
        <v>168</v>
      </c>
      <c r="CS83" s="1"/>
      <c r="CT83" s="1" t="s">
        <v>169</v>
      </c>
      <c r="CU83" s="4">
        <f>CQ86</f>
        <v>0</v>
      </c>
      <c r="CV83" s="1"/>
      <c r="CW83" s="1"/>
      <c r="CX83" s="1">
        <v>4</v>
      </c>
      <c r="CY83" s="6">
        <f>CN26</f>
        <v>0.6365914786967366</v>
      </c>
      <c r="CZ83" s="6">
        <f>CM26</f>
        <v>0.3266499582289113</v>
      </c>
      <c r="DA83" s="1"/>
      <c r="DB83" s="6">
        <f>LARGE(CZ80:CZ94,4)</f>
        <v>0.7866407263294467</v>
      </c>
      <c r="DC83" s="1">
        <f>MATCH(DB83,CZ80:CZ94,0)</f>
        <v>1</v>
      </c>
      <c r="DD83" s="6">
        <f>VLOOKUP(DC83,CX80:CZ94,2,FALSE)</f>
        <v>0.13618677042801136</v>
      </c>
      <c r="DE83" s="1"/>
      <c r="DF83" s="1"/>
      <c r="DG83" s="1"/>
      <c r="DH83" s="1"/>
      <c r="DI83" s="1"/>
      <c r="DJ83" s="1"/>
      <c r="DK83" s="1" t="s">
        <v>21</v>
      </c>
      <c r="DL83" s="1" t="e">
        <f t="shared" ref="DL83:DQ83" si="59">DL46</f>
        <v>#REF!</v>
      </c>
      <c r="DM83" s="1" t="e">
        <f t="shared" si="59"/>
        <v>#REF!</v>
      </c>
      <c r="DN83" s="8" t="e">
        <f t="shared" si="59"/>
        <v>#REF!</v>
      </c>
      <c r="DO83" s="8">
        <f t="shared" si="59"/>
        <v>59.600000000000762</v>
      </c>
      <c r="DP83" s="8" t="e">
        <f t="shared" si="59"/>
        <v>#REF!</v>
      </c>
      <c r="DQ83" s="8" t="e">
        <f t="shared" si="59"/>
        <v>#REF!</v>
      </c>
      <c r="DR83" s="1"/>
    </row>
    <row r="84" spans="83:122" x14ac:dyDescent="0.25">
      <c r="CE84" s="1"/>
      <c r="CF84" s="1" t="s">
        <v>166</v>
      </c>
      <c r="CG84" s="1" t="s">
        <v>167</v>
      </c>
      <c r="CH84" s="1" t="s">
        <v>167</v>
      </c>
      <c r="CI84" s="1" t="e">
        <f>[2]!'#FTSE'</f>
        <v>#NAME?</v>
      </c>
      <c r="CJ84" s="1" t="e">
        <f>[3]!'#FTSE'</f>
        <v>#NAME?</v>
      </c>
      <c r="CK84" s="1" t="e">
        <f>[4]!'#FTSE'</f>
        <v>#NAME?</v>
      </c>
      <c r="CL84" s="1" t="e">
        <f>[5]!'#FTSE'</f>
        <v>#NAME?</v>
      </c>
      <c r="CM84" s="4" t="e">
        <f t="shared" si="53"/>
        <v>#NAME?</v>
      </c>
      <c r="CN84" s="4" t="e">
        <f t="shared" si="54"/>
        <v>#NAME?</v>
      </c>
      <c r="CO84" s="4"/>
      <c r="CP84" s="1" t="b">
        <f t="shared" si="38"/>
        <v>1</v>
      </c>
      <c r="CQ84" s="4">
        <f t="shared" si="55"/>
        <v>0</v>
      </c>
      <c r="CR84" s="1" t="s">
        <v>170</v>
      </c>
      <c r="CS84" s="1"/>
      <c r="CT84" s="1" t="s">
        <v>171</v>
      </c>
      <c r="CU84" s="4">
        <f>CQ87</f>
        <v>0</v>
      </c>
      <c r="CV84" s="1"/>
      <c r="CW84" s="1"/>
      <c r="CX84" s="1">
        <v>5</v>
      </c>
      <c r="CY84" s="6">
        <f>CN27</f>
        <v>8.2095387021102473E-2</v>
      </c>
      <c r="CZ84" s="6">
        <f>CM27</f>
        <v>0.78655199374511575</v>
      </c>
      <c r="DA84" s="1"/>
      <c r="DB84" s="6">
        <f>LARGE(CZ80:CZ94,5)</f>
        <v>0.78655199374511575</v>
      </c>
      <c r="DC84" s="1">
        <f>MATCH(DB84,CZ80:CZ94,0)</f>
        <v>5</v>
      </c>
      <c r="DD84" s="6">
        <f>VLOOKUP(DC84,CX80:CZ94,2,FALSE)</f>
        <v>8.2095387021102473E-2</v>
      </c>
      <c r="DE84" s="1"/>
      <c r="DF84" s="1"/>
      <c r="DG84" s="1"/>
      <c r="DH84" s="1"/>
      <c r="DI84" s="1"/>
      <c r="DJ84" s="1"/>
      <c r="DK84" s="1" t="s">
        <v>25</v>
      </c>
      <c r="DL84" s="1" t="e">
        <f t="shared" ref="DL84:DQ84" si="60">DL57</f>
        <v>#REF!</v>
      </c>
      <c r="DM84" s="1" t="e">
        <f t="shared" si="60"/>
        <v>#REF!</v>
      </c>
      <c r="DN84" s="8" t="e">
        <f t="shared" si="60"/>
        <v>#REF!</v>
      </c>
      <c r="DO84" s="8">
        <f t="shared" si="60"/>
        <v>100.79999999999978</v>
      </c>
      <c r="DP84" s="8" t="e">
        <f t="shared" si="60"/>
        <v>#REF!</v>
      </c>
      <c r="DQ84" s="8" t="e">
        <f t="shared" si="60"/>
        <v>#REF!</v>
      </c>
      <c r="DR84" s="1"/>
    </row>
    <row r="85" spans="83:122" x14ac:dyDescent="0.25"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4"/>
      <c r="CR85" s="1" t="s">
        <v>172</v>
      </c>
      <c r="CS85" s="1"/>
      <c r="CT85" s="1" t="s">
        <v>173</v>
      </c>
      <c r="CU85" s="4">
        <f>CQ88</f>
        <v>0</v>
      </c>
      <c r="CV85" s="1"/>
      <c r="CW85" s="1"/>
      <c r="CX85" s="1">
        <v>6</v>
      </c>
      <c r="CY85" s="6">
        <f>CN21</f>
        <v>0.70581395348837928</v>
      </c>
      <c r="CZ85" s="6">
        <f>CM21</f>
        <v>0.15581395348837407</v>
      </c>
      <c r="DA85" s="1"/>
      <c r="DB85" s="6">
        <f>LARGE(CZ80:CZ94,6)</f>
        <v>0.66666666666666985</v>
      </c>
      <c r="DC85" s="1">
        <f>MATCH(DB85,CZ80:CZ94,0)</f>
        <v>9</v>
      </c>
      <c r="DD85" s="6">
        <f>VLOOKUP(DC85,CX80:CZ94,2,FALSE)</f>
        <v>0.19202163624070737</v>
      </c>
      <c r="DE85" s="1"/>
      <c r="DF85" s="1"/>
      <c r="DG85" s="1"/>
      <c r="DH85" s="1"/>
      <c r="DI85" s="1"/>
      <c r="DJ85" s="1"/>
      <c r="DK85" s="1" t="s">
        <v>28</v>
      </c>
      <c r="DL85" s="1" t="e">
        <f t="shared" ref="DL85:DQ85" si="61">DL68</f>
        <v>#REF!</v>
      </c>
      <c r="DM85" s="1" t="e">
        <f t="shared" si="61"/>
        <v>#REF!</v>
      </c>
      <c r="DN85" s="8" t="e">
        <f t="shared" si="61"/>
        <v>#REF!</v>
      </c>
      <c r="DO85" s="8">
        <f t="shared" si="61"/>
        <v>104.29999999999939</v>
      </c>
      <c r="DP85" s="8" t="e">
        <f t="shared" si="61"/>
        <v>#REF!</v>
      </c>
      <c r="DQ85" s="8" t="e">
        <f t="shared" si="61"/>
        <v>#REF!</v>
      </c>
      <c r="DR85" s="1"/>
    </row>
    <row r="86" spans="83:122" x14ac:dyDescent="0.25">
      <c r="CE86" s="1" t="s">
        <v>174</v>
      </c>
      <c r="CF86" s="1" t="s">
        <v>168</v>
      </c>
      <c r="CG86" s="1" t="s">
        <v>169</v>
      </c>
      <c r="CH86" s="1" t="s">
        <v>169</v>
      </c>
      <c r="CI86" s="1" t="e">
        <f>[2]!'#N225'</f>
        <v>#NAME?</v>
      </c>
      <c r="CJ86" s="1" t="e">
        <f>[3]!'#N225'</f>
        <v>#NAME?</v>
      </c>
      <c r="CK86" s="1" t="e">
        <f>[4]!'#N225'</f>
        <v>#NAME?</v>
      </c>
      <c r="CL86" s="1" t="e">
        <f>[5]!'#N225'</f>
        <v>#NAME?</v>
      </c>
      <c r="CM86" s="4" t="e">
        <f t="shared" ref="CM86:CM92" si="62">(100*(CK86-CJ86)/(CI86-CJ86))/100</f>
        <v>#NAME?</v>
      </c>
      <c r="CN86" s="4" t="e">
        <f t="shared" ref="CN86:CN92" si="63">(CI86-CL86)/(CI86-CJ86)</f>
        <v>#NAME?</v>
      </c>
      <c r="CO86" s="1"/>
      <c r="CP86" s="1" t="b">
        <f t="shared" si="38"/>
        <v>1</v>
      </c>
      <c r="CQ86" s="4">
        <f t="shared" ref="CQ86:CQ92" si="64">IF(CP86=FALSE,CM86,0%)</f>
        <v>0</v>
      </c>
      <c r="CR86" s="1" t="s">
        <v>175</v>
      </c>
      <c r="CS86" s="1"/>
      <c r="CT86" s="1" t="s">
        <v>176</v>
      </c>
      <c r="CU86" s="4">
        <f>CQ89</f>
        <v>0</v>
      </c>
      <c r="CV86" s="1"/>
      <c r="CW86" s="1"/>
      <c r="CX86" s="1">
        <v>7</v>
      </c>
      <c r="CY86" s="6">
        <f>CN25</f>
        <v>0.16754850088183346</v>
      </c>
      <c r="CZ86" s="6">
        <f>CM25</f>
        <v>0.42151675485010359</v>
      </c>
      <c r="DA86" s="1"/>
      <c r="DB86" s="6">
        <f>LARGE(CZ80:CZ94,7)</f>
        <v>0.66492829204693915</v>
      </c>
      <c r="DC86" s="1">
        <f>MATCH(DB86,CZ80:CZ94,0)</f>
        <v>8</v>
      </c>
      <c r="DD86" s="6">
        <f>VLOOKUP(DC86,CX80:CZ94,2,FALSE)</f>
        <v>0.18383311603649538</v>
      </c>
      <c r="DE86" s="1"/>
      <c r="DF86" s="1"/>
      <c r="DG86" s="1"/>
      <c r="DH86" s="1"/>
      <c r="DI86" s="1"/>
      <c r="DJ86" s="1"/>
      <c r="DK86" s="1" t="s">
        <v>32</v>
      </c>
      <c r="DL86" s="1" t="e">
        <f t="shared" ref="DL86:DQ86" si="65">DD47</f>
        <v>#REF!</v>
      </c>
      <c r="DM86" s="1" t="e">
        <f t="shared" si="65"/>
        <v>#REF!</v>
      </c>
      <c r="DN86" s="8" t="e">
        <f t="shared" si="65"/>
        <v>#REF!</v>
      </c>
      <c r="DO86" s="8">
        <f t="shared" si="65"/>
        <v>76.699999999999548</v>
      </c>
      <c r="DP86" s="8" t="e">
        <f t="shared" si="65"/>
        <v>#REF!</v>
      </c>
      <c r="DQ86" s="8" t="e">
        <f t="shared" si="65"/>
        <v>#REF!</v>
      </c>
      <c r="DR86" s="1"/>
    </row>
    <row r="87" spans="83:122" x14ac:dyDescent="0.25">
      <c r="CE87" s="1"/>
      <c r="CF87" s="1" t="s">
        <v>170</v>
      </c>
      <c r="CG87" s="1" t="s">
        <v>171</v>
      </c>
      <c r="CH87" s="1" t="s">
        <v>171</v>
      </c>
      <c r="CI87" s="1" t="e">
        <f>[2]!'#N225'</f>
        <v>#NAME?</v>
      </c>
      <c r="CJ87" s="1" t="e">
        <f>[3]!'#N225'</f>
        <v>#NAME?</v>
      </c>
      <c r="CK87" s="1" t="e">
        <f>[4]!'#N225'</f>
        <v>#NAME?</v>
      </c>
      <c r="CL87" s="1" t="e">
        <f>[5]!'#N225'</f>
        <v>#NAME?</v>
      </c>
      <c r="CM87" s="4" t="e">
        <f t="shared" si="62"/>
        <v>#NAME?</v>
      </c>
      <c r="CN87" s="4" t="e">
        <f t="shared" si="63"/>
        <v>#NAME?</v>
      </c>
      <c r="CO87" s="1"/>
      <c r="CP87" s="1" t="b">
        <f t="shared" si="38"/>
        <v>1</v>
      </c>
      <c r="CQ87" s="4">
        <f t="shared" si="64"/>
        <v>0</v>
      </c>
      <c r="CR87" s="1" t="s">
        <v>177</v>
      </c>
      <c r="CS87" s="1"/>
      <c r="CT87" s="1" t="s">
        <v>178</v>
      </c>
      <c r="CU87" s="4">
        <f>CQ90</f>
        <v>0</v>
      </c>
      <c r="CV87" s="1"/>
      <c r="CW87" s="1"/>
      <c r="CX87" s="1">
        <v>8</v>
      </c>
      <c r="CY87" s="6">
        <f>CN47</f>
        <v>0.18383311603649538</v>
      </c>
      <c r="CZ87" s="6">
        <f>CM47</f>
        <v>0.66492829204693915</v>
      </c>
      <c r="DA87" s="1"/>
      <c r="DB87" s="6">
        <f>LARGE(CZ80:CZ94,8)</f>
        <v>0.59814528593507632</v>
      </c>
      <c r="DC87" s="1">
        <f>MATCH(DB87,CZ80:CZ94,0)</f>
        <v>13</v>
      </c>
      <c r="DD87" s="6">
        <f>VLOOKUP(DC87,CX80:CZ94,2,FALSE)</f>
        <v>0.25193199381762388</v>
      </c>
      <c r="DE87" s="1"/>
      <c r="DF87" s="1"/>
      <c r="DG87" s="1"/>
      <c r="DH87" s="1"/>
      <c r="DI87" s="1"/>
      <c r="DJ87" s="1"/>
      <c r="DK87" s="1"/>
      <c r="DL87" s="1" t="e">
        <f t="shared" ref="DL87:DQ87" si="66">SUM(DL80:DL86)</f>
        <v>#REF!</v>
      </c>
      <c r="DM87" s="1" t="e">
        <f t="shared" si="66"/>
        <v>#REF!</v>
      </c>
      <c r="DN87" s="8" t="e">
        <f t="shared" si="66"/>
        <v>#REF!</v>
      </c>
      <c r="DO87" s="8">
        <f t="shared" si="66"/>
        <v>696.79999999999984</v>
      </c>
      <c r="DP87" s="8" t="e">
        <f t="shared" si="66"/>
        <v>#REF!</v>
      </c>
      <c r="DQ87" s="8" t="e">
        <f t="shared" si="66"/>
        <v>#REF!</v>
      </c>
      <c r="DR87" s="1"/>
    </row>
    <row r="88" spans="83:122" x14ac:dyDescent="0.25">
      <c r="CE88" s="1"/>
      <c r="CF88" s="1" t="s">
        <v>172</v>
      </c>
      <c r="CG88" s="1" t="s">
        <v>173</v>
      </c>
      <c r="CH88" s="1" t="s">
        <v>173</v>
      </c>
      <c r="CI88" s="1" t="e">
        <f>[2]!'#N225'</f>
        <v>#NAME?</v>
      </c>
      <c r="CJ88" s="1" t="e">
        <f>[3]!'#N225'</f>
        <v>#NAME?</v>
      </c>
      <c r="CK88" s="1" t="e">
        <f>[4]!'#N225'</f>
        <v>#NAME?</v>
      </c>
      <c r="CL88" s="1" t="e">
        <f>[5]!'#N225'</f>
        <v>#NAME?</v>
      </c>
      <c r="CM88" s="4" t="e">
        <f t="shared" si="62"/>
        <v>#NAME?</v>
      </c>
      <c r="CN88" s="4" t="e">
        <f t="shared" si="63"/>
        <v>#NAME?</v>
      </c>
      <c r="CO88" s="1"/>
      <c r="CP88" s="1" t="b">
        <f t="shared" si="38"/>
        <v>1</v>
      </c>
      <c r="CQ88" s="4">
        <f t="shared" si="64"/>
        <v>0</v>
      </c>
      <c r="CR88" s="1"/>
      <c r="CS88" s="1"/>
      <c r="CT88" s="1"/>
      <c r="CU88" s="1"/>
      <c r="CV88" s="1"/>
      <c r="CW88" s="1"/>
      <c r="CX88" s="1">
        <v>9</v>
      </c>
      <c r="CY88" s="6">
        <f>CN45</f>
        <v>0.19202163624070737</v>
      </c>
      <c r="CZ88" s="6">
        <f>CM45</f>
        <v>0.66666666666666985</v>
      </c>
      <c r="DA88" s="1"/>
      <c r="DB88" s="6">
        <f>LARGE(CZ80:CZ94,9)</f>
        <v>0.42151675485010359</v>
      </c>
      <c r="DC88" s="1">
        <f>MATCH(DB88,CZ80:CZ94,0)</f>
        <v>7</v>
      </c>
      <c r="DD88" s="6">
        <f>VLOOKUP(DC88,CX80:CZ94,2,FALSE)</f>
        <v>0.16754850088183346</v>
      </c>
      <c r="DE88" s="1"/>
      <c r="DF88" s="1"/>
      <c r="DG88" s="1"/>
      <c r="DH88" s="1"/>
      <c r="DI88" s="1"/>
      <c r="DJ88" s="1"/>
      <c r="DK88" s="1" t="s">
        <v>60</v>
      </c>
      <c r="DL88" s="1"/>
      <c r="DM88" s="1"/>
      <c r="DN88" s="8" t="e">
        <f>SUM(DP87+DN87)</f>
        <v>#REF!</v>
      </c>
      <c r="DO88" s="8"/>
      <c r="DP88" s="8"/>
      <c r="DQ88" s="8"/>
      <c r="DR88" s="1"/>
    </row>
    <row r="89" spans="83:122" x14ac:dyDescent="0.25">
      <c r="CE89" s="1"/>
      <c r="CF89" s="1" t="s">
        <v>175</v>
      </c>
      <c r="CG89" s="1" t="s">
        <v>176</v>
      </c>
      <c r="CH89" s="1" t="s">
        <v>176</v>
      </c>
      <c r="CI89" s="1" t="e">
        <f>[2]!'#HSI'</f>
        <v>#NAME?</v>
      </c>
      <c r="CJ89" s="1" t="e">
        <f>[3]!'#HSI'</f>
        <v>#NAME?</v>
      </c>
      <c r="CK89" s="1" t="e">
        <f>[4]!'#HSI'</f>
        <v>#NAME?</v>
      </c>
      <c r="CL89" s="1" t="e">
        <f>[5]!'#HSI'</f>
        <v>#NAME?</v>
      </c>
      <c r="CM89" s="4" t="e">
        <f t="shared" si="62"/>
        <v>#NAME?</v>
      </c>
      <c r="CN89" s="4" t="e">
        <f t="shared" si="63"/>
        <v>#NAME?</v>
      </c>
      <c r="CO89" s="1"/>
      <c r="CP89" s="5" t="b">
        <f t="shared" si="38"/>
        <v>1</v>
      </c>
      <c r="CQ89" s="4">
        <f t="shared" si="64"/>
        <v>0</v>
      </c>
      <c r="CR89" s="1"/>
      <c r="CS89" s="1"/>
      <c r="CT89" s="1"/>
      <c r="CU89" s="1"/>
      <c r="CV89" s="1"/>
      <c r="CW89" s="1"/>
      <c r="CX89" s="1">
        <v>10</v>
      </c>
      <c r="CY89" s="6">
        <f>CN46</f>
        <v>0.70986842105263193</v>
      </c>
      <c r="CZ89" s="6">
        <f>CM46</f>
        <v>0.21973684210526961</v>
      </c>
      <c r="DA89" s="1"/>
      <c r="DB89" s="6">
        <f>LARGE(CZ80:CZ94,10)</f>
        <v>0.39465408805031438</v>
      </c>
      <c r="DC89" s="1">
        <f>MATCH(DB89,CZ80:CZ94,0)</f>
        <v>2</v>
      </c>
      <c r="DD89" s="6">
        <f>VLOOKUP(DC89,CX80:CZ94,2,FALSE)</f>
        <v>0.44575471698113484</v>
      </c>
      <c r="DE89" s="1"/>
      <c r="DF89" s="1"/>
      <c r="DG89" s="1"/>
      <c r="DH89" s="1"/>
      <c r="DI89" s="1"/>
      <c r="DJ89" s="1"/>
      <c r="DK89" s="1" t="s">
        <v>61</v>
      </c>
      <c r="DL89" s="1"/>
      <c r="DM89" s="1"/>
      <c r="DN89" s="8" t="e">
        <f>SUM(DQ87-DN87)*-1</f>
        <v>#REF!</v>
      </c>
      <c r="DO89" s="8"/>
      <c r="DP89" s="8"/>
      <c r="DQ89" s="8"/>
      <c r="DR89" s="1"/>
    </row>
    <row r="90" spans="83:122" x14ac:dyDescent="0.25">
      <c r="CE90" s="1"/>
      <c r="CF90" s="1" t="s">
        <v>177</v>
      </c>
      <c r="CG90" s="1" t="s">
        <v>178</v>
      </c>
      <c r="CH90" s="1" t="s">
        <v>178</v>
      </c>
      <c r="CI90" s="1" t="e">
        <f>[2]!'#HSI'</f>
        <v>#NAME?</v>
      </c>
      <c r="CJ90" s="1" t="e">
        <f>[3]!'#HSI'</f>
        <v>#NAME?</v>
      </c>
      <c r="CK90" s="1" t="e">
        <f>[4]!'#HSI'</f>
        <v>#NAME?</v>
      </c>
      <c r="CL90" s="1" t="e">
        <f>[5]!'#HSI'</f>
        <v>#NAME?</v>
      </c>
      <c r="CM90" s="4" t="e">
        <f t="shared" si="62"/>
        <v>#NAME?</v>
      </c>
      <c r="CN90" s="4" t="e">
        <f t="shared" si="63"/>
        <v>#NAME?</v>
      </c>
      <c r="CO90" s="4"/>
      <c r="CP90" s="1" t="b">
        <f t="shared" si="38"/>
        <v>1</v>
      </c>
      <c r="CQ90" s="4">
        <f t="shared" si="64"/>
        <v>0</v>
      </c>
      <c r="CR90" s="1"/>
      <c r="CS90" s="1"/>
      <c r="CT90" s="1"/>
      <c r="CU90" s="1"/>
      <c r="CV90" s="1"/>
      <c r="CW90" s="1"/>
      <c r="CX90" s="1">
        <v>11</v>
      </c>
      <c r="CY90" s="6">
        <f>CN44</f>
        <v>0.12932501418037187</v>
      </c>
      <c r="CZ90" s="6">
        <f>CM44</f>
        <v>0.81111741349971633</v>
      </c>
      <c r="DA90" s="1"/>
      <c r="DB90" s="6">
        <f>LARGE(CZ80:CZ94,11)</f>
        <v>0.32871720116617598</v>
      </c>
      <c r="DC90" s="1">
        <f>MATCH(DB90,CZ80:CZ94,0)</f>
        <v>15</v>
      </c>
      <c r="DD90" s="6">
        <f>VLOOKUP(DC90,CX80:CZ94,2,FALSE)</f>
        <v>0.54081632653061551</v>
      </c>
      <c r="DE90" s="1"/>
      <c r="DF90" s="1"/>
      <c r="DG90" s="1"/>
      <c r="DH90" s="1"/>
      <c r="DI90" s="1"/>
      <c r="DJ90" s="1"/>
      <c r="DK90" s="1"/>
      <c r="DL90" s="1"/>
      <c r="DM90" s="1"/>
      <c r="DN90" s="8"/>
      <c r="DO90" s="8"/>
      <c r="DP90" s="8"/>
      <c r="DQ90" s="8"/>
      <c r="DR90" s="1"/>
    </row>
    <row r="91" spans="83:122" x14ac:dyDescent="0.25">
      <c r="CE91" s="1"/>
      <c r="CF91" s="1" t="s">
        <v>179</v>
      </c>
      <c r="CG91" s="1" t="s">
        <v>180</v>
      </c>
      <c r="CH91" s="1" t="s">
        <v>180</v>
      </c>
      <c r="CI91" s="1"/>
      <c r="CJ91" s="1"/>
      <c r="CK91" s="1"/>
      <c r="CL91" s="1"/>
      <c r="CM91" s="4" t="e">
        <f t="shared" si="62"/>
        <v>#DIV/0!</v>
      </c>
      <c r="CN91" s="4" t="e">
        <f t="shared" si="63"/>
        <v>#DIV/0!</v>
      </c>
      <c r="CO91" s="4"/>
      <c r="CP91" s="1" t="b">
        <f>ISERR(CM91)</f>
        <v>1</v>
      </c>
      <c r="CQ91" s="4">
        <f t="shared" si="64"/>
        <v>0</v>
      </c>
      <c r="CR91" s="1"/>
      <c r="CS91" s="1"/>
      <c r="CT91" s="1"/>
      <c r="CU91" s="1"/>
      <c r="CV91" s="1"/>
      <c r="CW91" s="1"/>
      <c r="CX91" s="1">
        <v>12</v>
      </c>
      <c r="CY91" s="6">
        <f>CN38</f>
        <v>6.6374908825670528E-2</v>
      </c>
      <c r="CZ91" s="6">
        <f>CM38</f>
        <v>0.80087527352297805</v>
      </c>
      <c r="DA91" s="1"/>
      <c r="DB91" s="6">
        <f>LARGE(CZ80:CZ94,12)</f>
        <v>0.3266499582289113</v>
      </c>
      <c r="DC91" s="1">
        <f>MATCH(DB91,CZ80:CZ94,0)</f>
        <v>4</v>
      </c>
      <c r="DD91" s="6">
        <f>VLOOKUP(DC91,CX80:CZ94,2,FALSE)</f>
        <v>0.6365914786967366</v>
      </c>
      <c r="DE91" s="1"/>
      <c r="DF91" s="1"/>
      <c r="DG91" s="1"/>
      <c r="DH91" s="1"/>
      <c r="DI91" s="1"/>
      <c r="DJ91" s="1"/>
      <c r="DK91" s="5" t="s">
        <v>51</v>
      </c>
      <c r="DL91" s="1" t="s">
        <v>54</v>
      </c>
      <c r="DM91" s="1" t="s">
        <v>55</v>
      </c>
      <c r="DN91" s="1" t="s">
        <v>56</v>
      </c>
      <c r="DO91" s="8" t="s">
        <v>57</v>
      </c>
      <c r="DP91" s="8" t="s">
        <v>58</v>
      </c>
      <c r="DQ91" s="8" t="s">
        <v>59</v>
      </c>
      <c r="DR91" s="1"/>
    </row>
    <row r="92" spans="83:122" x14ac:dyDescent="0.25">
      <c r="CE92" s="1"/>
      <c r="CF92" s="1" t="s">
        <v>181</v>
      </c>
      <c r="CG92" s="1" t="s">
        <v>182</v>
      </c>
      <c r="CH92" s="1" t="s">
        <v>182</v>
      </c>
      <c r="CI92" s="1" t="e">
        <f>[2]!'#RTSI'</f>
        <v>#NAME?</v>
      </c>
      <c r="CJ92" s="1" t="e">
        <f>[3]!'#RTSI'</f>
        <v>#NAME?</v>
      </c>
      <c r="CK92" s="1" t="e">
        <f>[4]!'#RTSI'</f>
        <v>#NAME?</v>
      </c>
      <c r="CL92" s="1" t="e">
        <f>[5]!'#RTSI'</f>
        <v>#NAME?</v>
      </c>
      <c r="CM92" s="4" t="e">
        <f t="shared" si="62"/>
        <v>#NAME?</v>
      </c>
      <c r="CN92" s="4" t="e">
        <f t="shared" si="63"/>
        <v>#NAME?</v>
      </c>
      <c r="CO92" s="4"/>
      <c r="CP92" s="1" t="b">
        <f>ISERR(CM92)</f>
        <v>1</v>
      </c>
      <c r="CQ92" s="4">
        <f t="shared" si="64"/>
        <v>0</v>
      </c>
      <c r="CR92" s="1"/>
      <c r="CS92" s="1"/>
      <c r="CT92" s="1"/>
      <c r="CU92" s="1"/>
      <c r="CV92" s="1"/>
      <c r="CW92" s="1"/>
      <c r="CX92" s="1">
        <v>13</v>
      </c>
      <c r="CY92" s="6">
        <f>CN37</f>
        <v>0.25193199381762388</v>
      </c>
      <c r="CZ92" s="6">
        <f>CM37</f>
        <v>0.59814528593507632</v>
      </c>
      <c r="DA92" s="1"/>
      <c r="DB92" s="6">
        <f>LARGE(CZ80:CZ94,13)</f>
        <v>0.21973684210526961</v>
      </c>
      <c r="DC92" s="1">
        <f>MATCH(DB92,CZ80:CZ94,0)</f>
        <v>10</v>
      </c>
      <c r="DD92" s="6">
        <f>VLOOKUP(DC92,CX80:CZ94,2,FALSE)</f>
        <v>0.70986842105263193</v>
      </c>
      <c r="DE92" s="1"/>
      <c r="DF92" s="1"/>
      <c r="DG92" s="1"/>
      <c r="DH92" s="1"/>
      <c r="DI92" s="1"/>
      <c r="DJ92" s="1"/>
      <c r="DK92" s="1" t="s">
        <v>31</v>
      </c>
      <c r="DL92" s="1" t="e">
        <f t="shared" ref="DL92:DQ92" si="67">DL74</f>
        <v>#REF!</v>
      </c>
      <c r="DM92" s="1" t="e">
        <f t="shared" si="67"/>
        <v>#REF!</v>
      </c>
      <c r="DN92" s="8" t="e">
        <f t="shared" si="67"/>
        <v>#REF!</v>
      </c>
      <c r="DO92" s="8">
        <f t="shared" si="67"/>
        <v>152.00000000000102</v>
      </c>
      <c r="DP92" s="8" t="e">
        <f t="shared" si="67"/>
        <v>#REF!</v>
      </c>
      <c r="DQ92" s="8" t="e">
        <f t="shared" si="67"/>
        <v>#REF!</v>
      </c>
      <c r="DR92" s="1"/>
    </row>
    <row r="93" spans="83:122" x14ac:dyDescent="0.25">
      <c r="CE93" s="1"/>
      <c r="CF93" s="1" t="s">
        <v>183</v>
      </c>
      <c r="CG93" s="1"/>
      <c r="CH93" s="4">
        <f>SUM(CO104+CN106+CO126+CO136+CO142)/5</f>
        <v>0</v>
      </c>
      <c r="CI93" s="1"/>
      <c r="CJ93" s="1"/>
      <c r="CK93" s="1"/>
      <c r="CL93" s="1"/>
      <c r="CM93" s="1"/>
      <c r="CN93" s="1"/>
      <c r="CO93" s="1"/>
      <c r="CP93" s="1"/>
      <c r="CQ93" s="4"/>
      <c r="CR93" s="1"/>
      <c r="CS93" s="1"/>
      <c r="CT93" s="1"/>
      <c r="CU93" s="1"/>
      <c r="CV93" s="1"/>
      <c r="CW93" s="1"/>
      <c r="CX93" s="1">
        <v>14</v>
      </c>
      <c r="CY93" s="6">
        <f>CN41</f>
        <v>0.83492063492063795</v>
      </c>
      <c r="CZ93" s="6">
        <f>CM41</f>
        <v>7.460317460317839E-2</v>
      </c>
      <c r="DA93" s="1"/>
      <c r="DB93" s="6">
        <f>LARGE(CZ80:CZ94,14)</f>
        <v>0.15581395348837407</v>
      </c>
      <c r="DC93" s="1">
        <f>MATCH(DB93,CZ80:CZ94,0)</f>
        <v>6</v>
      </c>
      <c r="DD93" s="6">
        <f>VLOOKUP(DC93,CX80:CZ94,2,FALSE)</f>
        <v>0.70581395348837928</v>
      </c>
      <c r="DE93" s="1"/>
      <c r="DF93" s="1"/>
      <c r="DG93" s="1"/>
      <c r="DH93" s="1"/>
      <c r="DI93" s="1"/>
      <c r="DJ93" s="1"/>
      <c r="DK93" s="1" t="s">
        <v>32</v>
      </c>
      <c r="DL93" s="1" t="e">
        <f>DD47</f>
        <v>#REF!</v>
      </c>
      <c r="DM93" s="1" t="e">
        <f>DE47</f>
        <v>#REF!</v>
      </c>
      <c r="DN93" s="8" t="e">
        <f>DN86</f>
        <v>#REF!</v>
      </c>
      <c r="DO93" s="8">
        <f>DO86</f>
        <v>76.699999999999548</v>
      </c>
      <c r="DP93" s="8" t="e">
        <f>DP86</f>
        <v>#REF!</v>
      </c>
      <c r="DQ93" s="8" t="e">
        <f>DQ86</f>
        <v>#REF!</v>
      </c>
      <c r="DR93" s="1"/>
    </row>
    <row r="94" spans="83:122" x14ac:dyDescent="0.25">
      <c r="CE94" s="1"/>
      <c r="CF94" s="1" t="s">
        <v>184</v>
      </c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4"/>
      <c r="CR94" s="1"/>
      <c r="CS94" s="1"/>
      <c r="CT94" s="1"/>
      <c r="CU94" s="1"/>
      <c r="CV94" s="1"/>
      <c r="CW94" s="1"/>
      <c r="CX94" s="1">
        <v>15</v>
      </c>
      <c r="CY94" s="6">
        <f>CN42</f>
        <v>0.54081632653061551</v>
      </c>
      <c r="CZ94" s="6">
        <f>CM42</f>
        <v>0.32871720116617598</v>
      </c>
      <c r="DA94" s="1"/>
      <c r="DB94" s="6">
        <f>LARGE(CZ80:CZ94,15)</f>
        <v>7.460317460317839E-2</v>
      </c>
      <c r="DC94" s="1">
        <f>MATCH(DB94,CZ80:CZ94,0)</f>
        <v>14</v>
      </c>
      <c r="DD94" s="6">
        <f>VLOOKUP(DC94,CX80:CZ94,2,FALSE)</f>
        <v>0.83492063492063795</v>
      </c>
      <c r="DE94" s="1"/>
      <c r="DF94" s="1"/>
      <c r="DG94" s="1"/>
      <c r="DH94" s="1"/>
      <c r="DI94" s="1"/>
      <c r="DJ94" s="1"/>
      <c r="DK94" s="1" t="s">
        <v>33</v>
      </c>
      <c r="DL94" s="1" t="e">
        <f>DD48</f>
        <v>#REF!</v>
      </c>
      <c r="DM94" s="1" t="e">
        <f>DE48</f>
        <v>#REF!</v>
      </c>
      <c r="DN94" s="8" t="e">
        <f>DF48</f>
        <v>#REF!</v>
      </c>
      <c r="DO94" s="8">
        <f>DG48</f>
        <v>188.2000000000005</v>
      </c>
      <c r="DP94" s="8" t="e">
        <f>DH48</f>
        <v>#REF!</v>
      </c>
      <c r="DQ94" s="8" t="e">
        <f>DI48</f>
        <v>#REF!</v>
      </c>
      <c r="DR94" s="1"/>
    </row>
    <row r="95" spans="83:122" x14ac:dyDescent="0.25"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4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 t="s">
        <v>11</v>
      </c>
      <c r="DL95" s="1" t="e">
        <f t="shared" ref="DL95:DQ95" si="68">DL25</f>
        <v>#REF!</v>
      </c>
      <c r="DM95" s="1" t="e">
        <f t="shared" si="68"/>
        <v>#REF!</v>
      </c>
      <c r="DN95" s="8" t="e">
        <f t="shared" si="68"/>
        <v>#REF!</v>
      </c>
      <c r="DO95" s="8">
        <f t="shared" si="68"/>
        <v>119.70000000000036</v>
      </c>
      <c r="DP95" s="8" t="e">
        <f t="shared" si="68"/>
        <v>#REF!</v>
      </c>
      <c r="DQ95" s="8" t="e">
        <f t="shared" si="68"/>
        <v>#REF!</v>
      </c>
      <c r="DR95" s="1"/>
    </row>
    <row r="96" spans="83:122" x14ac:dyDescent="0.25">
      <c r="CE96" s="1"/>
      <c r="CF96" s="1" t="s">
        <v>185</v>
      </c>
      <c r="CG96" s="1" t="s">
        <v>186</v>
      </c>
      <c r="CH96" s="1" t="s">
        <v>186</v>
      </c>
      <c r="CI96" s="1" t="e">
        <f>[2]!'#XBZM5'</f>
        <v>#NAME?</v>
      </c>
      <c r="CJ96" s="1" t="e">
        <f>[3]!'#XBZM5'</f>
        <v>#NAME?</v>
      </c>
      <c r="CK96" s="1" t="e">
        <f>[4]!'#XBZM5'</f>
        <v>#NAME?</v>
      </c>
      <c r="CL96" s="1" t="e">
        <f>[5]!'#XBZM5'</f>
        <v>#NAME?</v>
      </c>
      <c r="CM96" s="4" t="e">
        <f t="shared" ref="CM96:CM104" si="69">(100*(CK96-CJ96)/(CI96-CJ96))/100</f>
        <v>#NAME?</v>
      </c>
      <c r="CN96" s="4" t="e">
        <f t="shared" ref="CN96:CN104" si="70">(CI96-CL96)/(CI96-CJ96)</f>
        <v>#NAME?</v>
      </c>
      <c r="CO96" s="1"/>
      <c r="CP96" s="1" t="b">
        <f t="shared" si="38"/>
        <v>1</v>
      </c>
      <c r="CQ96" s="4">
        <f t="shared" ref="CQ96:CQ104" si="71">IF(CP96=FALSE,CM96,0%)</f>
        <v>0</v>
      </c>
      <c r="CR96" s="1" t="str">
        <f t="shared" ref="CR96:CR104" si="72">CF96</f>
        <v>Crude Oil Brent CRD</v>
      </c>
      <c r="CS96" s="1"/>
      <c r="CT96" s="1" t="s">
        <v>186</v>
      </c>
      <c r="CU96" s="4">
        <f t="shared" ref="CU96:CU104" si="73">CQ96</f>
        <v>0</v>
      </c>
      <c r="CV96" s="1"/>
      <c r="CW96" s="1" t="s">
        <v>187</v>
      </c>
      <c r="CX96" s="1" t="s">
        <v>188</v>
      </c>
      <c r="CY96" s="1"/>
      <c r="CZ96" s="1" t="s">
        <v>189</v>
      </c>
      <c r="DA96" s="1"/>
      <c r="DB96" s="1"/>
      <c r="DC96" s="1" t="s">
        <v>103</v>
      </c>
      <c r="DD96" s="1" t="s">
        <v>104</v>
      </c>
      <c r="DE96" s="1" t="s">
        <v>105</v>
      </c>
      <c r="DF96" s="1"/>
      <c r="DG96" s="1"/>
      <c r="DH96" s="1"/>
      <c r="DI96" s="1"/>
      <c r="DJ96" s="1"/>
      <c r="DK96" s="1" t="s">
        <v>17</v>
      </c>
      <c r="DL96" s="1" t="e">
        <f t="shared" ref="DL96:DQ96" si="74">DL37</f>
        <v>#REF!</v>
      </c>
      <c r="DM96" s="1" t="e">
        <f t="shared" si="74"/>
        <v>#REF!</v>
      </c>
      <c r="DN96" s="8" t="e">
        <f t="shared" si="74"/>
        <v>#REF!</v>
      </c>
      <c r="DO96" s="8">
        <f t="shared" si="74"/>
        <v>127.20000000000064</v>
      </c>
      <c r="DP96" s="8" t="e">
        <f t="shared" si="74"/>
        <v>#REF!</v>
      </c>
      <c r="DQ96" s="8" t="e">
        <f t="shared" si="74"/>
        <v>#REF!</v>
      </c>
      <c r="DR96" s="1"/>
    </row>
    <row r="97" spans="83:122" x14ac:dyDescent="0.25">
      <c r="CE97" s="1"/>
      <c r="CF97" s="1" t="s">
        <v>190</v>
      </c>
      <c r="CG97" s="1" t="s">
        <v>191</v>
      </c>
      <c r="CH97" s="1" t="s">
        <v>191</v>
      </c>
      <c r="CI97" s="1" t="e">
        <f>[2]!'#CL'</f>
        <v>#NAME?</v>
      </c>
      <c r="CJ97" s="1" t="e">
        <f>[3]!'#CL'</f>
        <v>#NAME?</v>
      </c>
      <c r="CK97" s="1" t="e">
        <f>[4]!'#CL'</f>
        <v>#NAME?</v>
      </c>
      <c r="CL97" s="1" t="e">
        <f>[5]!'#CL'</f>
        <v>#NAME?</v>
      </c>
      <c r="CM97" s="4" t="e">
        <f t="shared" si="69"/>
        <v>#NAME?</v>
      </c>
      <c r="CN97" s="4" t="e">
        <f t="shared" si="70"/>
        <v>#NAME?</v>
      </c>
      <c r="CO97" s="1"/>
      <c r="CP97" s="1" t="b">
        <f t="shared" si="38"/>
        <v>1</v>
      </c>
      <c r="CQ97" s="4">
        <f t="shared" si="71"/>
        <v>0</v>
      </c>
      <c r="CR97" s="1" t="str">
        <f t="shared" si="72"/>
        <v>Crude Oil, Light Sweet</v>
      </c>
      <c r="CS97" s="1"/>
      <c r="CT97" s="1" t="s">
        <v>191</v>
      </c>
      <c r="CU97" s="4">
        <f t="shared" si="73"/>
        <v>0</v>
      </c>
      <c r="CV97" s="1"/>
      <c r="CW97" s="1" t="s">
        <v>192</v>
      </c>
      <c r="CX97" s="1" t="s">
        <v>193</v>
      </c>
      <c r="CY97" s="1">
        <v>1</v>
      </c>
      <c r="CZ97" s="1" t="s">
        <v>44</v>
      </c>
      <c r="DA97" s="19">
        <f t="shared" ref="DA97:DA104" si="75">CW44</f>
        <v>4.1428571428571432</v>
      </c>
      <c r="DB97" s="3"/>
      <c r="DC97" s="20">
        <f>LARGE(DA97:DA104,1)</f>
        <v>6.6428571428571432</v>
      </c>
      <c r="DD97" s="1">
        <f>MATCH(DC97,DA97:DA104,0)</f>
        <v>5</v>
      </c>
      <c r="DE97" s="1" t="str">
        <f>VLOOKUP(DD97,CY97:DA104,2,FALSE)</f>
        <v>CAD</v>
      </c>
      <c r="DF97" s="1"/>
      <c r="DG97" s="1"/>
      <c r="DH97" s="1"/>
      <c r="DI97" s="1"/>
      <c r="DJ97" s="1"/>
      <c r="DK97" s="1" t="s">
        <v>22</v>
      </c>
      <c r="DL97" s="1" t="e">
        <f t="shared" ref="DL97:DQ97" si="76">DL47</f>
        <v>#REF!</v>
      </c>
      <c r="DM97" s="1" t="e">
        <f t="shared" si="76"/>
        <v>#REF!</v>
      </c>
      <c r="DN97" s="8" t="e">
        <f t="shared" si="76"/>
        <v>#REF!</v>
      </c>
      <c r="DO97" s="8">
        <f t="shared" si="76"/>
        <v>64.699999999999761</v>
      </c>
      <c r="DP97" s="8" t="e">
        <f t="shared" si="76"/>
        <v>#REF!</v>
      </c>
      <c r="DQ97" s="8" t="e">
        <f t="shared" si="76"/>
        <v>#REF!</v>
      </c>
      <c r="DR97" s="1"/>
    </row>
    <row r="98" spans="83:122" x14ac:dyDescent="0.25">
      <c r="CE98" s="1"/>
      <c r="CF98" s="1" t="s">
        <v>194</v>
      </c>
      <c r="CG98" s="1" t="s">
        <v>195</v>
      </c>
      <c r="CH98" s="1" t="s">
        <v>195</v>
      </c>
      <c r="CI98" s="1" t="e">
        <f>[2]!'#NG'</f>
        <v>#NAME?</v>
      </c>
      <c r="CJ98" s="1" t="e">
        <f>[3]!'#NG'</f>
        <v>#NAME?</v>
      </c>
      <c r="CK98" s="1" t="e">
        <f>[4]!'#NG'</f>
        <v>#NAME?</v>
      </c>
      <c r="CL98" s="1" t="e">
        <f>[5]!'#NG'</f>
        <v>#NAME?</v>
      </c>
      <c r="CM98" s="4" t="e">
        <f t="shared" si="69"/>
        <v>#NAME?</v>
      </c>
      <c r="CN98" s="4" t="e">
        <f t="shared" si="70"/>
        <v>#NAME?</v>
      </c>
      <c r="CO98" s="1"/>
      <c r="CP98" s="1" t="b">
        <f t="shared" si="38"/>
        <v>1</v>
      </c>
      <c r="CQ98" s="4">
        <f t="shared" si="71"/>
        <v>0</v>
      </c>
      <c r="CR98" s="1" t="str">
        <f t="shared" si="72"/>
        <v>Gas Oil</v>
      </c>
      <c r="CS98" s="1"/>
      <c r="CT98" s="1" t="s">
        <v>195</v>
      </c>
      <c r="CU98" s="4">
        <f t="shared" si="73"/>
        <v>0</v>
      </c>
      <c r="CV98" s="1"/>
      <c r="CW98" s="1" t="s">
        <v>196</v>
      </c>
      <c r="CX98" s="1" t="s">
        <v>197</v>
      </c>
      <c r="CY98" s="1">
        <v>2</v>
      </c>
      <c r="CZ98" s="1" t="s">
        <v>45</v>
      </c>
      <c r="DA98" s="21">
        <f t="shared" si="75"/>
        <v>5.5</v>
      </c>
      <c r="DB98" s="3"/>
      <c r="DC98" s="22">
        <f>LARGE(DA97:DA104,2)</f>
        <v>5.7857142857142856</v>
      </c>
      <c r="DD98" s="1">
        <f>MATCH(DC98,DA97:DA104,0)</f>
        <v>3</v>
      </c>
      <c r="DE98" s="1" t="str">
        <f>VLOOKUP(DD98,CY97:DA104,2,FALSE)</f>
        <v>AUD</v>
      </c>
      <c r="DF98" s="1"/>
      <c r="DG98" s="1"/>
      <c r="DH98" s="1"/>
      <c r="DI98" s="1"/>
      <c r="DJ98" s="1"/>
      <c r="DK98" s="1" t="s">
        <v>26</v>
      </c>
      <c r="DL98" s="1" t="e">
        <f t="shared" ref="DL98:DQ98" si="77">DL58</f>
        <v>#REF!</v>
      </c>
      <c r="DM98" s="1" t="e">
        <f t="shared" si="77"/>
        <v>#REF!</v>
      </c>
      <c r="DN98" s="8" t="e">
        <f t="shared" si="77"/>
        <v>#REF!</v>
      </c>
      <c r="DO98" s="8">
        <f t="shared" si="77"/>
        <v>126.00000000000055</v>
      </c>
      <c r="DP98" s="8" t="e">
        <f t="shared" si="77"/>
        <v>#REF!</v>
      </c>
      <c r="DQ98" s="8" t="e">
        <f t="shared" si="77"/>
        <v>#REF!</v>
      </c>
      <c r="DR98" s="1"/>
    </row>
    <row r="99" spans="83:122" x14ac:dyDescent="0.25">
      <c r="CE99" s="1"/>
      <c r="CF99" s="1" t="s">
        <v>198</v>
      </c>
      <c r="CG99" s="1" t="s">
        <v>199</v>
      </c>
      <c r="CH99" s="1" t="s">
        <v>199</v>
      </c>
      <c r="CI99" s="1" t="e">
        <f>[2]!'#HOG5'</f>
        <v>#NAME?</v>
      </c>
      <c r="CJ99" s="1" t="e">
        <f>[3]!'#HOG5'</f>
        <v>#NAME?</v>
      </c>
      <c r="CK99" s="1" t="e">
        <f>[4]!'#HOG5'</f>
        <v>#NAME?</v>
      </c>
      <c r="CL99" s="1" t="e">
        <f>[5]!'#HOG5'</f>
        <v>#NAME?</v>
      </c>
      <c r="CM99" s="4" t="e">
        <f t="shared" si="69"/>
        <v>#NAME?</v>
      </c>
      <c r="CN99" s="4" t="e">
        <f t="shared" si="70"/>
        <v>#NAME?</v>
      </c>
      <c r="CO99" s="1"/>
      <c r="CP99" s="1" t="b">
        <f t="shared" si="38"/>
        <v>1</v>
      </c>
      <c r="CQ99" s="4">
        <f t="shared" si="71"/>
        <v>0</v>
      </c>
      <c r="CR99" s="1" t="str">
        <f t="shared" si="72"/>
        <v>Heating Oil</v>
      </c>
      <c r="CS99" s="1"/>
      <c r="CT99" s="1" t="s">
        <v>199</v>
      </c>
      <c r="CU99" s="4">
        <f t="shared" si="73"/>
        <v>0</v>
      </c>
      <c r="CV99" s="1"/>
      <c r="CW99" s="1" t="s">
        <v>192</v>
      </c>
      <c r="CX99" s="1" t="s">
        <v>200</v>
      </c>
      <c r="CY99" s="1">
        <v>3</v>
      </c>
      <c r="CZ99" s="1" t="s">
        <v>46</v>
      </c>
      <c r="DA99" s="23">
        <f t="shared" si="75"/>
        <v>5.7857142857142856</v>
      </c>
      <c r="DB99" s="3"/>
      <c r="DC99" s="19">
        <f>LARGE(DA97:DA104,3)</f>
        <v>5.5</v>
      </c>
      <c r="DD99" s="1">
        <f>MATCH(DC99,DA97:DA104,0)</f>
        <v>2</v>
      </c>
      <c r="DE99" s="1" t="str">
        <f>VLOOKUP(DD99,CY97:DA104,2,FALSE)</f>
        <v>GBP</v>
      </c>
      <c r="DF99" s="1"/>
      <c r="DG99" s="1"/>
      <c r="DH99" s="1"/>
      <c r="DI99" s="1"/>
      <c r="DJ99" s="1"/>
      <c r="DK99" s="1"/>
      <c r="DL99" s="1" t="e">
        <f t="shared" ref="DL99:DQ99" si="78">SUM(DL92:DL98)</f>
        <v>#REF!</v>
      </c>
      <c r="DM99" s="1" t="e">
        <f t="shared" si="78"/>
        <v>#REF!</v>
      </c>
      <c r="DN99" s="8" t="e">
        <f t="shared" si="78"/>
        <v>#REF!</v>
      </c>
      <c r="DO99" s="8">
        <f t="shared" si="78"/>
        <v>854.50000000000239</v>
      </c>
      <c r="DP99" s="8" t="e">
        <f t="shared" si="78"/>
        <v>#REF!</v>
      </c>
      <c r="DQ99" s="8" t="e">
        <f t="shared" si="78"/>
        <v>#REF!</v>
      </c>
      <c r="DR99" s="1"/>
    </row>
    <row r="100" spans="83:122" x14ac:dyDescent="0.25">
      <c r="CE100" s="1"/>
      <c r="CF100" s="1" t="s">
        <v>201</v>
      </c>
      <c r="CG100" s="1" t="s">
        <v>202</v>
      </c>
      <c r="CH100" s="1" t="s">
        <v>202</v>
      </c>
      <c r="CI100" s="1" t="e">
        <f>[2]!'#NG'</f>
        <v>#NAME?</v>
      </c>
      <c r="CJ100" s="1" t="e">
        <f>[3]!'#NG'</f>
        <v>#NAME?</v>
      </c>
      <c r="CK100" s="1" t="e">
        <f>[4]!'#NG'</f>
        <v>#NAME?</v>
      </c>
      <c r="CL100" s="1" t="e">
        <f>[5]!'#NG'</f>
        <v>#NAME?</v>
      </c>
      <c r="CM100" s="4" t="e">
        <f t="shared" si="69"/>
        <v>#NAME?</v>
      </c>
      <c r="CN100" s="4" t="e">
        <f t="shared" si="70"/>
        <v>#NAME?</v>
      </c>
      <c r="CO100" s="1"/>
      <c r="CP100" s="1" t="b">
        <f t="shared" si="38"/>
        <v>1</v>
      </c>
      <c r="CQ100" s="4">
        <f t="shared" si="71"/>
        <v>0</v>
      </c>
      <c r="CR100" s="1" t="str">
        <f t="shared" si="72"/>
        <v>Henry Hub Natural Gas</v>
      </c>
      <c r="CS100" s="1"/>
      <c r="CT100" s="1" t="s">
        <v>202</v>
      </c>
      <c r="CU100" s="4">
        <f t="shared" si="73"/>
        <v>0</v>
      </c>
      <c r="CV100" s="1"/>
      <c r="CW100" s="1" t="s">
        <v>192</v>
      </c>
      <c r="CX100" s="1" t="s">
        <v>203</v>
      </c>
      <c r="CY100" s="1">
        <v>4</v>
      </c>
      <c r="CZ100" s="1" t="s">
        <v>47</v>
      </c>
      <c r="DA100" s="24">
        <f t="shared" si="75"/>
        <v>1.8571428571428572</v>
      </c>
      <c r="DB100" s="3"/>
      <c r="DC100" s="21">
        <f>LARGE(DA97:DA104,4)</f>
        <v>5.3571428571428568</v>
      </c>
      <c r="DD100" s="1">
        <f>MATCH(DC100,DA97:DA104,0)</f>
        <v>7</v>
      </c>
      <c r="DE100" s="1" t="str">
        <f>VLOOKUP(DD100,CY97:DA104,2,FALSE)</f>
        <v>USD</v>
      </c>
      <c r="DF100" s="1"/>
      <c r="DG100" s="1"/>
      <c r="DH100" s="1"/>
      <c r="DI100" s="1"/>
      <c r="DJ100" s="1"/>
      <c r="DK100" s="1" t="s">
        <v>60</v>
      </c>
      <c r="DL100" s="1"/>
      <c r="DM100" s="1"/>
      <c r="DN100" s="8" t="e">
        <f>SUM(DP99+DN99)</f>
        <v>#REF!</v>
      </c>
      <c r="DO100" s="8"/>
      <c r="DP100" s="8"/>
      <c r="DQ100" s="8"/>
      <c r="DR100" s="1"/>
    </row>
    <row r="101" spans="83:122" x14ac:dyDescent="0.25">
      <c r="CE101" s="1"/>
      <c r="CF101" s="1" t="s">
        <v>204</v>
      </c>
      <c r="CG101" s="1" t="s">
        <v>205</v>
      </c>
      <c r="CH101" s="1" t="s">
        <v>205</v>
      </c>
      <c r="CI101" s="1" t="e">
        <f>[2]!'#QGK5'</f>
        <v>#NAME?</v>
      </c>
      <c r="CJ101" s="1" t="e">
        <f>[3]!'#QGK5'</f>
        <v>#NAME?</v>
      </c>
      <c r="CK101" s="1" t="e">
        <f>[4]!'#QGK5'</f>
        <v>#NAME?</v>
      </c>
      <c r="CL101" s="1" t="e">
        <f>[5]!'#QGK5'</f>
        <v>#NAME?</v>
      </c>
      <c r="CM101" s="4" t="e">
        <f t="shared" si="69"/>
        <v>#NAME?</v>
      </c>
      <c r="CN101" s="4" t="e">
        <f t="shared" si="70"/>
        <v>#NAME?</v>
      </c>
      <c r="CO101" s="1"/>
      <c r="CP101" s="1" t="b">
        <f t="shared" si="38"/>
        <v>1</v>
      </c>
      <c r="CQ101" s="4">
        <f t="shared" si="71"/>
        <v>0</v>
      </c>
      <c r="CR101" s="1" t="str">
        <f t="shared" si="72"/>
        <v>E-mini Natural Gas</v>
      </c>
      <c r="CS101" s="1"/>
      <c r="CT101" s="1" t="s">
        <v>205</v>
      </c>
      <c r="CU101" s="4">
        <f t="shared" si="73"/>
        <v>0</v>
      </c>
      <c r="CV101" s="1"/>
      <c r="CW101" s="1" t="s">
        <v>192</v>
      </c>
      <c r="CX101" s="1" t="s">
        <v>206</v>
      </c>
      <c r="CY101" s="1">
        <v>5</v>
      </c>
      <c r="CZ101" s="1" t="s">
        <v>48</v>
      </c>
      <c r="DA101" s="25">
        <f t="shared" si="75"/>
        <v>6.6428571428571432</v>
      </c>
      <c r="DB101" s="3"/>
      <c r="DC101" s="23">
        <f>LARGE(DA97:DA104,5)</f>
        <v>4.1428571428571432</v>
      </c>
      <c r="DD101" s="1">
        <f>MATCH(DC101,DA97:DA104,0)</f>
        <v>1</v>
      </c>
      <c r="DE101" s="1" t="str">
        <f>VLOOKUP(DD101,CY97:DA104,2,FALSE)</f>
        <v>EUR</v>
      </c>
      <c r="DF101" s="1"/>
      <c r="DG101" s="1"/>
      <c r="DH101" s="1"/>
      <c r="DI101" s="1"/>
      <c r="DJ101" s="1"/>
      <c r="DK101" s="1" t="s">
        <v>61</v>
      </c>
      <c r="DL101" s="1"/>
      <c r="DM101" s="1"/>
      <c r="DN101" s="8" t="e">
        <f>SUM(DQ99-DN99)*-1</f>
        <v>#REF!</v>
      </c>
      <c r="DO101" s="8"/>
      <c r="DP101" s="8"/>
      <c r="DQ101" s="8"/>
      <c r="DR101" s="1"/>
    </row>
    <row r="102" spans="83:122" x14ac:dyDescent="0.25">
      <c r="CE102" s="1"/>
      <c r="CF102" s="1" t="s">
        <v>207</v>
      </c>
      <c r="CG102" s="1" t="s">
        <v>208</v>
      </c>
      <c r="CH102" s="1" t="s">
        <v>208</v>
      </c>
      <c r="CI102" s="1" t="e">
        <f>[2]!'#QMM5'</f>
        <v>#NAME?</v>
      </c>
      <c r="CJ102" s="1" t="e">
        <f>[3]!'#QMM5'</f>
        <v>#NAME?</v>
      </c>
      <c r="CK102" s="1" t="e">
        <f>[4]!'#QMM5'</f>
        <v>#NAME?</v>
      </c>
      <c r="CL102" s="1" t="e">
        <f>[5]!'#QMM5'</f>
        <v>#NAME?</v>
      </c>
      <c r="CM102" s="4" t="e">
        <f t="shared" si="69"/>
        <v>#NAME?</v>
      </c>
      <c r="CN102" s="4" t="e">
        <f t="shared" si="70"/>
        <v>#NAME?</v>
      </c>
      <c r="CO102" s="1"/>
      <c r="CP102" s="1" t="b">
        <f t="shared" si="38"/>
        <v>1</v>
      </c>
      <c r="CQ102" s="4">
        <f t="shared" si="71"/>
        <v>0</v>
      </c>
      <c r="CR102" s="1" t="str">
        <f t="shared" si="72"/>
        <v>E-mini Crude Oil</v>
      </c>
      <c r="CS102" s="1"/>
      <c r="CT102" s="1" t="s">
        <v>208</v>
      </c>
      <c r="CU102" s="4">
        <f t="shared" si="73"/>
        <v>0</v>
      </c>
      <c r="CV102" s="1"/>
      <c r="CW102" s="1" t="s">
        <v>192</v>
      </c>
      <c r="CX102" s="1" t="s">
        <v>209</v>
      </c>
      <c r="CY102" s="1">
        <v>6</v>
      </c>
      <c r="CZ102" s="1" t="s">
        <v>49</v>
      </c>
      <c r="DA102" s="3">
        <f t="shared" si="75"/>
        <v>4.0714285714285712</v>
      </c>
      <c r="DB102" s="3"/>
      <c r="DC102" s="24">
        <f>LARGE(DA97:DA104,6)</f>
        <v>4.0714285714285712</v>
      </c>
      <c r="DD102" s="1">
        <f>MATCH(DC102,DA97:DA104,0)</f>
        <v>6</v>
      </c>
      <c r="DE102" s="1" t="str">
        <f>VLOOKUP(DD102,CY97:DA104,2,FALSE)</f>
        <v>CHF</v>
      </c>
      <c r="DF102" s="1"/>
      <c r="DG102" s="1"/>
      <c r="DH102" s="1"/>
      <c r="DI102" s="1"/>
      <c r="DJ102" s="1"/>
      <c r="DK102" s="1"/>
      <c r="DL102" s="1"/>
      <c r="DM102" s="1"/>
      <c r="DN102" s="8"/>
      <c r="DO102" s="8"/>
      <c r="DP102" s="8"/>
      <c r="DQ102" s="8"/>
      <c r="DR102" s="1"/>
    </row>
    <row r="103" spans="83:122" x14ac:dyDescent="0.25">
      <c r="CE103" s="1"/>
      <c r="CF103" s="1" t="s">
        <v>210</v>
      </c>
      <c r="CG103" s="1" t="s">
        <v>211</v>
      </c>
      <c r="CH103" s="1" t="s">
        <v>211</v>
      </c>
      <c r="CI103" s="1" t="e">
        <f>[2]!'#CL'</f>
        <v>#NAME?</v>
      </c>
      <c r="CJ103" s="1" t="e">
        <f>[3]!'#CL'</f>
        <v>#NAME?</v>
      </c>
      <c r="CK103" s="1" t="e">
        <f>[4]!'#CL'</f>
        <v>#NAME?</v>
      </c>
      <c r="CL103" s="1" t="e">
        <f>[5]!'#CL'</f>
        <v>#NAME?</v>
      </c>
      <c r="CM103" s="4" t="e">
        <f t="shared" si="69"/>
        <v>#NAME?</v>
      </c>
      <c r="CN103" s="4" t="e">
        <f t="shared" si="70"/>
        <v>#NAME?</v>
      </c>
      <c r="CO103" s="1"/>
      <c r="CP103" s="1" t="b">
        <f t="shared" si="38"/>
        <v>1</v>
      </c>
      <c r="CQ103" s="4">
        <f t="shared" si="71"/>
        <v>0</v>
      </c>
      <c r="CR103" s="1" t="str">
        <f t="shared" si="72"/>
        <v>WTI Light Sweet Crude Oil(WBS)</v>
      </c>
      <c r="CS103" s="1"/>
      <c r="CT103" s="1" t="s">
        <v>211</v>
      </c>
      <c r="CU103" s="4">
        <f t="shared" si="73"/>
        <v>0</v>
      </c>
      <c r="CV103" s="1"/>
      <c r="CW103" s="1" t="s">
        <v>212</v>
      </c>
      <c r="CX103" s="1" t="s">
        <v>213</v>
      </c>
      <c r="CY103" s="1">
        <v>7</v>
      </c>
      <c r="CZ103" s="1" t="s">
        <v>51</v>
      </c>
      <c r="DA103" s="26">
        <f t="shared" si="75"/>
        <v>5.3571428571428568</v>
      </c>
      <c r="DB103" s="3"/>
      <c r="DC103" s="25">
        <f>LARGE(DA97:DA104,7)</f>
        <v>2.6428571428571428</v>
      </c>
      <c r="DD103" s="1">
        <f>MATCH(DC103,DA97:DA104,0)</f>
        <v>8</v>
      </c>
      <c r="DE103" s="1" t="str">
        <f>VLOOKUP(DD103,CY97:DA104,2,FALSE)</f>
        <v>JPY</v>
      </c>
      <c r="DF103" s="1"/>
      <c r="DG103" s="1"/>
      <c r="DH103" s="1"/>
      <c r="DI103" s="1"/>
      <c r="DJ103" s="1"/>
      <c r="DK103" s="5" t="s">
        <v>53</v>
      </c>
      <c r="DL103" s="1" t="s">
        <v>54</v>
      </c>
      <c r="DM103" s="1" t="s">
        <v>55</v>
      </c>
      <c r="DN103" s="1" t="s">
        <v>56</v>
      </c>
      <c r="DO103" s="8" t="s">
        <v>57</v>
      </c>
      <c r="DP103" s="8" t="s">
        <v>58</v>
      </c>
      <c r="DQ103" s="8" t="s">
        <v>59</v>
      </c>
      <c r="DR103" s="1"/>
    </row>
    <row r="104" spans="83:122" x14ac:dyDescent="0.25">
      <c r="CE104" s="1"/>
      <c r="CF104" s="1" t="s">
        <v>214</v>
      </c>
      <c r="CG104" s="1" t="s">
        <v>215</v>
      </c>
      <c r="CH104" s="1" t="s">
        <v>215</v>
      </c>
      <c r="CI104" s="1" t="e">
        <f>[2]!'#XRBK5'</f>
        <v>#NAME?</v>
      </c>
      <c r="CJ104" s="1" t="e">
        <f>[3]!'#XRBK5'</f>
        <v>#NAME?</v>
      </c>
      <c r="CK104" s="1" t="e">
        <f>[4]!'#XRBK5'</f>
        <v>#NAME?</v>
      </c>
      <c r="CL104" s="1" t="e">
        <f>[5]!'#XRBK5'</f>
        <v>#NAME?</v>
      </c>
      <c r="CM104" s="4" t="e">
        <f t="shared" si="69"/>
        <v>#NAME?</v>
      </c>
      <c r="CN104" s="4" t="e">
        <f t="shared" si="70"/>
        <v>#NAME?</v>
      </c>
      <c r="CO104" s="4"/>
      <c r="CP104" s="1" t="b">
        <f t="shared" si="38"/>
        <v>1</v>
      </c>
      <c r="CQ104" s="4">
        <f t="shared" si="71"/>
        <v>0</v>
      </c>
      <c r="CR104" s="1" t="str">
        <f t="shared" si="72"/>
        <v>RBOB Gasoline</v>
      </c>
      <c r="CS104" s="1"/>
      <c r="CT104" s="1" t="s">
        <v>215</v>
      </c>
      <c r="CU104" s="4">
        <f t="shared" si="73"/>
        <v>0</v>
      </c>
      <c r="CV104" s="1"/>
      <c r="CW104" s="1" t="s">
        <v>192</v>
      </c>
      <c r="CX104" s="1" t="s">
        <v>216</v>
      </c>
      <c r="CY104" s="1">
        <v>8</v>
      </c>
      <c r="CZ104" s="1" t="s">
        <v>53</v>
      </c>
      <c r="DA104" s="27">
        <f t="shared" si="75"/>
        <v>2.6428571428571428</v>
      </c>
      <c r="DB104" s="3"/>
      <c r="DC104" s="3">
        <f>LARGE(DA97:DA104,8)</f>
        <v>1.8571428571428572</v>
      </c>
      <c r="DD104" s="1">
        <f>MATCH(DC104,DA97:DA104,0)</f>
        <v>4</v>
      </c>
      <c r="DE104" s="1" t="str">
        <f>VLOOKUP(DD104,CY97:DA104,2,FALSE)</f>
        <v>NZD</v>
      </c>
      <c r="DF104" s="1"/>
      <c r="DG104" s="1"/>
      <c r="DH104" s="1"/>
      <c r="DI104" s="1"/>
      <c r="DJ104" s="1"/>
      <c r="DK104" s="1" t="s">
        <v>12</v>
      </c>
      <c r="DL104" s="1" t="e">
        <f t="shared" ref="DL104:DQ104" si="79">DL26</f>
        <v>#REF!</v>
      </c>
      <c r="DM104" s="1" t="e">
        <f t="shared" si="79"/>
        <v>#REF!</v>
      </c>
      <c r="DN104" s="8" t="e">
        <f t="shared" si="79"/>
        <v>#REF!</v>
      </c>
      <c r="DO104" s="8">
        <f t="shared" si="79"/>
        <v>127.89999999999964</v>
      </c>
      <c r="DP104" s="8" t="e">
        <f t="shared" si="79"/>
        <v>#REF!</v>
      </c>
      <c r="DQ104" s="8" t="e">
        <f t="shared" si="79"/>
        <v>#REF!</v>
      </c>
      <c r="DR104" s="1"/>
    </row>
    <row r="105" spans="83:122" x14ac:dyDescent="0.25"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4"/>
      <c r="CR105" s="1" t="str">
        <f t="shared" ref="CR105:CR111" si="80">CF107</f>
        <v>COMEX Gold 100 Oz.</v>
      </c>
      <c r="CS105" s="1"/>
      <c r="CT105" s="1" t="s">
        <v>217</v>
      </c>
      <c r="CU105" s="4">
        <f t="shared" ref="CU105:CU111" si="81">CQ107</f>
        <v>0</v>
      </c>
      <c r="CV105" s="1"/>
      <c r="CW105" s="1" t="s">
        <v>192</v>
      </c>
      <c r="CX105" s="1"/>
      <c r="CY105" s="1"/>
      <c r="CZ105" s="1"/>
      <c r="DA105" s="4"/>
      <c r="DB105" s="1"/>
      <c r="DC105" s="4"/>
      <c r="DD105" s="1"/>
      <c r="DE105" s="1"/>
      <c r="DF105" s="1"/>
      <c r="DG105" s="1"/>
      <c r="DH105" s="1"/>
      <c r="DI105" s="1"/>
      <c r="DJ105" s="1"/>
      <c r="DK105" s="1" t="s">
        <v>18</v>
      </c>
      <c r="DL105" s="1" t="e">
        <f t="shared" ref="DL105:DQ105" si="82">DL38</f>
        <v>#REF!</v>
      </c>
      <c r="DM105" s="1" t="e">
        <f t="shared" si="82"/>
        <v>#REF!</v>
      </c>
      <c r="DN105" s="8" t="e">
        <f t="shared" si="82"/>
        <v>#REF!</v>
      </c>
      <c r="DO105" s="8">
        <f t="shared" si="82"/>
        <v>308.40000000000032</v>
      </c>
      <c r="DP105" s="8" t="e">
        <f t="shared" si="82"/>
        <v>#REF!</v>
      </c>
      <c r="DQ105" s="8" t="e">
        <f t="shared" si="82"/>
        <v>#REF!</v>
      </c>
      <c r="DR105" s="1"/>
    </row>
    <row r="106" spans="83:122" x14ac:dyDescent="0.25">
      <c r="CE106" s="1"/>
      <c r="CF106" s="1" t="s">
        <v>218</v>
      </c>
      <c r="CG106" s="1"/>
      <c r="CH106" s="1"/>
      <c r="CI106" s="1"/>
      <c r="CJ106" s="1"/>
      <c r="CK106" s="1"/>
      <c r="CL106" s="1"/>
      <c r="CM106" s="1"/>
      <c r="CN106" s="4">
        <f>SUM(CO111+CO113)/2</f>
        <v>0</v>
      </c>
      <c r="CO106" s="1"/>
      <c r="CP106" s="1"/>
      <c r="CQ106" s="4"/>
      <c r="CR106" s="1" t="str">
        <f t="shared" si="80"/>
        <v>COMEX Copper, High Grade(HG)</v>
      </c>
      <c r="CS106" s="1"/>
      <c r="CT106" s="1" t="s">
        <v>219</v>
      </c>
      <c r="CU106" s="4">
        <f t="shared" si="81"/>
        <v>0</v>
      </c>
      <c r="CV106" s="1"/>
      <c r="CW106" s="1" t="s">
        <v>192</v>
      </c>
      <c r="CX106" s="1"/>
      <c r="CY106" s="1"/>
      <c r="CZ106" s="1"/>
      <c r="DA106" s="4"/>
      <c r="DB106" s="1"/>
      <c r="DC106" s="4"/>
      <c r="DD106" s="1"/>
      <c r="DE106" s="1"/>
      <c r="DF106" s="1"/>
      <c r="DG106" s="1"/>
      <c r="DH106" s="1"/>
      <c r="DI106" s="1"/>
      <c r="DJ106" s="1"/>
      <c r="DK106" s="1" t="s">
        <v>23</v>
      </c>
      <c r="DL106" s="1" t="e">
        <f t="shared" ref="DL106:DQ106" si="83">DL48</f>
        <v>#REF!</v>
      </c>
      <c r="DM106" s="1" t="e">
        <f t="shared" si="83"/>
        <v>#REF!</v>
      </c>
      <c r="DN106" s="8" t="e">
        <f t="shared" si="83"/>
        <v>#REF!</v>
      </c>
      <c r="DO106" s="8">
        <f t="shared" si="83"/>
        <v>137.09999999999951</v>
      </c>
      <c r="DP106" s="8" t="e">
        <f t="shared" si="83"/>
        <v>#REF!</v>
      </c>
      <c r="DQ106" s="8" t="e">
        <f t="shared" si="83"/>
        <v>#REF!</v>
      </c>
      <c r="DR106" s="1"/>
    </row>
    <row r="107" spans="83:122" x14ac:dyDescent="0.25">
      <c r="CE107" s="1"/>
      <c r="CF107" s="1" t="s">
        <v>220</v>
      </c>
      <c r="CG107" s="1" t="s">
        <v>217</v>
      </c>
      <c r="CH107" s="1" t="s">
        <v>217</v>
      </c>
      <c r="CI107" s="1" t="e">
        <f>[2]!'#GCJ5'</f>
        <v>#NAME?</v>
      </c>
      <c r="CJ107" s="1" t="e">
        <f>[3]!'#GCJ5'</f>
        <v>#NAME?</v>
      </c>
      <c r="CK107" s="1" t="e">
        <f>[4]!'#GCJ5'</f>
        <v>#NAME?</v>
      </c>
      <c r="CL107" s="1" t="e">
        <f>[5]!'#GCJ5'</f>
        <v>#NAME?</v>
      </c>
      <c r="CM107" s="4" t="e">
        <f t="shared" ref="CM107:CM113" si="84">(100*(CK107-CJ107)/(CI107-CJ107))/100</f>
        <v>#NAME?</v>
      </c>
      <c r="CN107" s="4" t="e">
        <f t="shared" ref="CN107:CN113" si="85">(CI107-CL107)/(CI107-CJ107)</f>
        <v>#NAME?</v>
      </c>
      <c r="CO107" s="1"/>
      <c r="CP107" s="1" t="b">
        <f t="shared" si="38"/>
        <v>1</v>
      </c>
      <c r="CQ107" s="4">
        <f t="shared" ref="CQ107:CQ113" si="86">IF(CP107=FALSE,CM107,0%)</f>
        <v>0</v>
      </c>
      <c r="CR107" s="1" t="str">
        <f t="shared" si="80"/>
        <v>Nymex - Palladium</v>
      </c>
      <c r="CS107" s="1"/>
      <c r="CT107" s="1" t="s">
        <v>221</v>
      </c>
      <c r="CU107" s="4">
        <f t="shared" si="81"/>
        <v>0</v>
      </c>
      <c r="CV107" s="1"/>
      <c r="CW107" s="1" t="s">
        <v>192</v>
      </c>
      <c r="CX107" s="1"/>
      <c r="CY107" s="1"/>
      <c r="CZ107" s="1"/>
      <c r="DA107" s="4"/>
      <c r="DB107" s="1"/>
      <c r="DC107" s="4"/>
      <c r="DD107" s="1"/>
      <c r="DE107" s="1"/>
      <c r="DF107" s="1"/>
      <c r="DG107" s="1"/>
      <c r="DH107" s="1"/>
      <c r="DI107" s="1"/>
      <c r="DJ107" s="1"/>
      <c r="DK107" s="1" t="s">
        <v>27</v>
      </c>
      <c r="DL107" s="1" t="e">
        <f t="shared" ref="DL107:DQ107" si="87">DL59</f>
        <v>#REF!</v>
      </c>
      <c r="DM107" s="1" t="e">
        <f t="shared" si="87"/>
        <v>#REF!</v>
      </c>
      <c r="DN107" s="8" t="e">
        <f t="shared" si="87"/>
        <v>#REF!</v>
      </c>
      <c r="DO107" s="8">
        <f t="shared" si="87"/>
        <v>137.19999999999999</v>
      </c>
      <c r="DP107" s="8" t="e">
        <f t="shared" si="87"/>
        <v>#REF!</v>
      </c>
      <c r="DQ107" s="8" t="e">
        <f t="shared" si="87"/>
        <v>#REF!</v>
      </c>
      <c r="DR107" s="1"/>
    </row>
    <row r="108" spans="83:122" x14ac:dyDescent="0.25">
      <c r="CE108" s="1"/>
      <c r="CF108" s="1" t="s">
        <v>222</v>
      </c>
      <c r="CG108" s="1" t="s">
        <v>219</v>
      </c>
      <c r="CH108" s="1" t="s">
        <v>219</v>
      </c>
      <c r="CI108" s="1" t="e">
        <f>[2]!'#HGJ5'</f>
        <v>#NAME?</v>
      </c>
      <c r="CJ108" s="1" t="e">
        <f>[3]!'#HGJ5'</f>
        <v>#NAME?</v>
      </c>
      <c r="CK108" s="1" t="e">
        <f>[4]!'#HGJ5'</f>
        <v>#NAME?</v>
      </c>
      <c r="CL108" s="1" t="e">
        <f>[5]!'#HGJ5'</f>
        <v>#NAME?</v>
      </c>
      <c r="CM108" s="4" t="e">
        <f t="shared" si="84"/>
        <v>#NAME?</v>
      </c>
      <c r="CN108" s="4" t="e">
        <f t="shared" si="85"/>
        <v>#NAME?</v>
      </c>
      <c r="CO108" s="1"/>
      <c r="CP108" s="1" t="b">
        <f t="shared" si="38"/>
        <v>1</v>
      </c>
      <c r="CQ108" s="4">
        <f t="shared" si="86"/>
        <v>0</v>
      </c>
      <c r="CR108" s="1" t="str">
        <f t="shared" si="80"/>
        <v>Nymex — Platinum</v>
      </c>
      <c r="CS108" s="1"/>
      <c r="CT108" s="1" t="s">
        <v>223</v>
      </c>
      <c r="CU108" s="4">
        <f t="shared" si="81"/>
        <v>0</v>
      </c>
      <c r="CV108" s="1"/>
      <c r="CW108" s="1" t="s">
        <v>192</v>
      </c>
      <c r="CX108" s="1"/>
      <c r="CY108" s="1"/>
      <c r="CZ108" s="1" t="s">
        <v>224</v>
      </c>
      <c r="DA108" s="1"/>
      <c r="DB108" s="1"/>
      <c r="DC108" s="1" t="s">
        <v>103</v>
      </c>
      <c r="DD108" s="1" t="s">
        <v>104</v>
      </c>
      <c r="DE108" s="1" t="s">
        <v>105</v>
      </c>
      <c r="DF108" s="1"/>
      <c r="DG108" s="1"/>
      <c r="DH108" s="1"/>
      <c r="DI108" s="1"/>
      <c r="DJ108" s="1"/>
      <c r="DK108" s="1" t="s">
        <v>29</v>
      </c>
      <c r="DL108" s="1" t="e">
        <f t="shared" ref="DL108:DQ108" si="88">DL69</f>
        <v>#REF!</v>
      </c>
      <c r="DM108" s="1" t="e">
        <f t="shared" si="88"/>
        <v>#REF!</v>
      </c>
      <c r="DN108" s="8" t="e">
        <f t="shared" si="88"/>
        <v>#REF!</v>
      </c>
      <c r="DO108" s="8">
        <f t="shared" si="88"/>
        <v>176.2999999999991</v>
      </c>
      <c r="DP108" s="8" t="e">
        <f t="shared" si="88"/>
        <v>#REF!</v>
      </c>
      <c r="DQ108" s="8" t="e">
        <f t="shared" si="88"/>
        <v>#REF!</v>
      </c>
      <c r="DR108" s="1"/>
    </row>
    <row r="109" spans="83:122" x14ac:dyDescent="0.25">
      <c r="CE109" s="1"/>
      <c r="CF109" s="1" t="s">
        <v>225</v>
      </c>
      <c r="CG109" s="1" t="s">
        <v>221</v>
      </c>
      <c r="CH109" s="1" t="s">
        <v>221</v>
      </c>
      <c r="CI109" s="1" t="e">
        <f>[2]!'#PAF'</f>
        <v>#NAME?</v>
      </c>
      <c r="CJ109" s="1" t="e">
        <f>[3]!'#PAF'</f>
        <v>#NAME?</v>
      </c>
      <c r="CK109" s="1" t="e">
        <f>[4]!'#PAF'</f>
        <v>#NAME?</v>
      </c>
      <c r="CL109" s="1" t="e">
        <f>[5]!'#PAF'</f>
        <v>#NAME?</v>
      </c>
      <c r="CM109" s="4" t="e">
        <f t="shared" si="84"/>
        <v>#NAME?</v>
      </c>
      <c r="CN109" s="4" t="e">
        <f t="shared" si="85"/>
        <v>#NAME?</v>
      </c>
      <c r="CO109" s="1"/>
      <c r="CP109" s="1" t="b">
        <f t="shared" si="38"/>
        <v>1</v>
      </c>
      <c r="CQ109" s="4">
        <f t="shared" si="86"/>
        <v>0</v>
      </c>
      <c r="CR109" s="1" t="str">
        <f t="shared" si="80"/>
        <v>COMEX Silver, 5000 Oz.</v>
      </c>
      <c r="CS109" s="1"/>
      <c r="CT109" s="1" t="s">
        <v>226</v>
      </c>
      <c r="CU109" s="4">
        <f t="shared" si="81"/>
        <v>0</v>
      </c>
      <c r="CV109" s="1"/>
      <c r="CW109" s="1" t="s">
        <v>192</v>
      </c>
      <c r="CX109" s="1"/>
      <c r="CY109" s="1">
        <v>1</v>
      </c>
      <c r="CZ109" s="1" t="s">
        <v>44</v>
      </c>
      <c r="DA109" s="19">
        <f t="shared" ref="DA109:DA116" si="89">CX44</f>
        <v>0.41063694243944848</v>
      </c>
      <c r="DB109" s="3"/>
      <c r="DC109" s="6">
        <f>LARGE(DA109:DA116,1)</f>
        <v>0.77879386316056198</v>
      </c>
      <c r="DD109" s="1">
        <f>MATCH(DC109,DA109:DA116,0)</f>
        <v>5</v>
      </c>
      <c r="DE109" s="1" t="str">
        <f>VLOOKUP(DD109,CY109:DA116,2,FALSE)</f>
        <v>CAD</v>
      </c>
      <c r="DF109" s="1"/>
      <c r="DG109" s="1"/>
      <c r="DH109" s="1"/>
      <c r="DI109" s="1"/>
      <c r="DJ109" s="1"/>
      <c r="DK109" s="1" t="s">
        <v>30</v>
      </c>
      <c r="DL109" s="1" t="e">
        <f>DD45</f>
        <v>#REF!</v>
      </c>
      <c r="DM109" s="1" t="e">
        <f>DE45</f>
        <v>#REF!</v>
      </c>
      <c r="DN109" s="8" t="e">
        <f>DN80</f>
        <v>#REF!</v>
      </c>
      <c r="DO109" s="8">
        <f>DO80</f>
        <v>147.89999999999992</v>
      </c>
      <c r="DP109" s="8" t="e">
        <f>DP80</f>
        <v>#REF!</v>
      </c>
      <c r="DQ109" s="8" t="e">
        <f>DQ80</f>
        <v>#REF!</v>
      </c>
      <c r="DR109" s="1"/>
    </row>
    <row r="110" spans="83:122" x14ac:dyDescent="0.25">
      <c r="CE110" s="1"/>
      <c r="CF110" s="1" t="s">
        <v>227</v>
      </c>
      <c r="CG110" s="1" t="s">
        <v>223</v>
      </c>
      <c r="CH110" s="1" t="s">
        <v>223</v>
      </c>
      <c r="CI110" s="1" t="e">
        <f>[2]!'#PLF'</f>
        <v>#NAME?</v>
      </c>
      <c r="CJ110" s="1" t="e">
        <f>[3]!'#PLF'</f>
        <v>#NAME?</v>
      </c>
      <c r="CK110" s="1" t="e">
        <f>[4]!'#PLF'</f>
        <v>#NAME?</v>
      </c>
      <c r="CL110" s="1" t="e">
        <f>[5]!'#PLF'</f>
        <v>#NAME?</v>
      </c>
      <c r="CM110" s="4" t="e">
        <f>(100*(CK110-CJ110)/(CI110-CJ110))/100</f>
        <v>#NAME?</v>
      </c>
      <c r="CN110" s="4" t="e">
        <f t="shared" si="85"/>
        <v>#NAME?</v>
      </c>
      <c r="CO110" s="1"/>
      <c r="CP110" s="1" t="b">
        <f t="shared" si="38"/>
        <v>1</v>
      </c>
      <c r="CQ110" s="4">
        <f t="shared" si="86"/>
        <v>0</v>
      </c>
      <c r="CR110" s="1" t="str">
        <f t="shared" si="80"/>
        <v>XAG</v>
      </c>
      <c r="CS110" s="1"/>
      <c r="CT110" s="1" t="s">
        <v>228</v>
      </c>
      <c r="CU110" s="4">
        <f t="shared" si="81"/>
        <v>0</v>
      </c>
      <c r="CV110" s="1"/>
      <c r="CW110" s="1" t="s">
        <v>192</v>
      </c>
      <c r="CX110" s="1"/>
      <c r="CY110" s="1">
        <v>2</v>
      </c>
      <c r="CZ110" s="1" t="s">
        <v>45</v>
      </c>
      <c r="DA110" s="21">
        <f t="shared" si="89"/>
        <v>0.61692829997703169</v>
      </c>
      <c r="DB110" s="3"/>
      <c r="DC110" s="6">
        <f>LARGE(DA109:DA116,2)</f>
        <v>0.65103876766383018</v>
      </c>
      <c r="DD110" s="1">
        <f>MATCH(DC110,DA109:DA116,0)</f>
        <v>3</v>
      </c>
      <c r="DE110" s="1" t="str">
        <f>VLOOKUP(DD110,CY109:DA116,2,FALSE)</f>
        <v>AUD</v>
      </c>
      <c r="DF110" s="1"/>
      <c r="DG110" s="1"/>
      <c r="DH110" s="1"/>
      <c r="DI110" s="1"/>
      <c r="DJ110" s="1"/>
      <c r="DK110" s="1" t="s">
        <v>33</v>
      </c>
      <c r="DL110" s="1" t="e">
        <f>DD48</f>
        <v>#REF!</v>
      </c>
      <c r="DM110" s="1" t="e">
        <f>DE48</f>
        <v>#REF!</v>
      </c>
      <c r="DN110" s="8" t="e">
        <f>DN94</f>
        <v>#REF!</v>
      </c>
      <c r="DO110" s="8">
        <f>DO94</f>
        <v>188.2000000000005</v>
      </c>
      <c r="DP110" s="8" t="e">
        <f>DP94</f>
        <v>#REF!</v>
      </c>
      <c r="DQ110" s="8" t="e">
        <f>DQ94</f>
        <v>#REF!</v>
      </c>
      <c r="DR110" s="1"/>
    </row>
    <row r="111" spans="83:122" x14ac:dyDescent="0.25">
      <c r="CE111" s="1"/>
      <c r="CF111" s="1" t="s">
        <v>229</v>
      </c>
      <c r="CG111" s="1" t="s">
        <v>226</v>
      </c>
      <c r="CH111" s="1" t="s">
        <v>226</v>
      </c>
      <c r="CI111" s="1" t="e">
        <f>[2]!'#SIJ5'</f>
        <v>#NAME?</v>
      </c>
      <c r="CJ111" s="1" t="e">
        <f>[3]!'#SIJ5'</f>
        <v>#NAME?</v>
      </c>
      <c r="CK111" s="1" t="e">
        <f>[4]!'#SIJ5'</f>
        <v>#NAME?</v>
      </c>
      <c r="CL111" s="1" t="e">
        <f>[5]!'#SIJ5'</f>
        <v>#NAME?</v>
      </c>
      <c r="CM111" s="4" t="e">
        <f t="shared" si="84"/>
        <v>#NAME?</v>
      </c>
      <c r="CN111" s="4" t="e">
        <f t="shared" si="85"/>
        <v>#NAME?</v>
      </c>
      <c r="CO111" s="4"/>
      <c r="CP111" s="1" t="b">
        <f t="shared" si="38"/>
        <v>1</v>
      </c>
      <c r="CQ111" s="4">
        <f t="shared" si="86"/>
        <v>0</v>
      </c>
      <c r="CR111" s="1" t="str">
        <f t="shared" si="80"/>
        <v>XAU</v>
      </c>
      <c r="CS111" s="1"/>
      <c r="CT111" s="1" t="s">
        <v>230</v>
      </c>
      <c r="CU111" s="4">
        <f t="shared" si="81"/>
        <v>0</v>
      </c>
      <c r="CV111" s="1"/>
      <c r="CW111" s="1" t="s">
        <v>212</v>
      </c>
      <c r="CX111" s="1"/>
      <c r="CY111" s="1">
        <v>3</v>
      </c>
      <c r="CZ111" s="1" t="s">
        <v>46</v>
      </c>
      <c r="DA111" s="23">
        <f t="shared" si="89"/>
        <v>0.65103876766383018</v>
      </c>
      <c r="DB111" s="3"/>
      <c r="DC111" s="6">
        <f>LARGE(DA109:DA116,3)</f>
        <v>0.61692829997703169</v>
      </c>
      <c r="DD111" s="1">
        <f>MATCH(DC111,DA109:DA116,0)</f>
        <v>2</v>
      </c>
      <c r="DE111" s="1" t="str">
        <f>VLOOKUP(DD111,CY109:DA116,2,FALSE)</f>
        <v>GBP</v>
      </c>
      <c r="DF111" s="1"/>
      <c r="DG111" s="1"/>
      <c r="DH111" s="1"/>
      <c r="DI111" s="1"/>
      <c r="DJ111" s="4"/>
      <c r="DK111" s="1"/>
      <c r="DL111" s="8" t="e">
        <f t="shared" ref="DL111:DQ111" si="90">SUM(DL104:DL110)</f>
        <v>#REF!</v>
      </c>
      <c r="DM111" s="8" t="e">
        <f t="shared" si="90"/>
        <v>#REF!</v>
      </c>
      <c r="DN111" s="8" t="e">
        <f t="shared" si="90"/>
        <v>#REF!</v>
      </c>
      <c r="DO111" s="8">
        <f t="shared" si="90"/>
        <v>1222.9999999999989</v>
      </c>
      <c r="DP111" s="8" t="e">
        <f t="shared" si="90"/>
        <v>#REF!</v>
      </c>
      <c r="DQ111" s="8" t="e">
        <f t="shared" si="90"/>
        <v>#REF!</v>
      </c>
      <c r="DR111" s="1"/>
    </row>
    <row r="112" spans="83:122" x14ac:dyDescent="0.25">
      <c r="CE112" s="1"/>
      <c r="CF112" s="1" t="s">
        <v>228</v>
      </c>
      <c r="CG112" s="1" t="s">
        <v>231</v>
      </c>
      <c r="CH112" s="1" t="s">
        <v>228</v>
      </c>
      <c r="CI112" s="1" t="e">
        <f>[2]!SILVER</f>
        <v>#NAME?</v>
      </c>
      <c r="CJ112" s="1" t="e">
        <f>[3]!SILVER</f>
        <v>#NAME?</v>
      </c>
      <c r="CK112" s="1" t="e">
        <f>[4]!SILVER</f>
        <v>#NAME?</v>
      </c>
      <c r="CL112" s="1" t="e">
        <f>[5]!SILVER</f>
        <v>#NAME?</v>
      </c>
      <c r="CM112" s="4" t="e">
        <f t="shared" si="84"/>
        <v>#NAME?</v>
      </c>
      <c r="CN112" s="4" t="e">
        <f t="shared" si="85"/>
        <v>#NAME?</v>
      </c>
      <c r="CO112" s="1"/>
      <c r="CP112" s="1" t="b">
        <f>ISERR(CM112)</f>
        <v>1</v>
      </c>
      <c r="CQ112" s="4">
        <f t="shared" si="86"/>
        <v>0</v>
      </c>
      <c r="CR112" s="1" t="str">
        <f t="shared" ref="CR112:CR118" si="91">CF120</f>
        <v>Corn</v>
      </c>
      <c r="CS112" s="1"/>
      <c r="CT112" s="1" t="s">
        <v>232</v>
      </c>
      <c r="CU112" s="4">
        <f t="shared" ref="CU112:CU118" si="92">CQ120</f>
        <v>0</v>
      </c>
      <c r="CV112" s="1"/>
      <c r="CW112" s="1"/>
      <c r="CX112" s="1"/>
      <c r="CY112" s="1">
        <v>4</v>
      </c>
      <c r="CZ112" s="1" t="s">
        <v>47</v>
      </c>
      <c r="DA112" s="24">
        <f t="shared" si="89"/>
        <v>0.1661745638257123</v>
      </c>
      <c r="DB112" s="3"/>
      <c r="DC112" s="6">
        <f>LARGE(DA109:DA116,4)</f>
        <v>0.61593540038287209</v>
      </c>
      <c r="DD112" s="1">
        <f>MATCH(DC112,DA109:DA116,0)</f>
        <v>7</v>
      </c>
      <c r="DE112" s="1" t="str">
        <f>VLOOKUP(DD112,CY109:DA116,2,FALSE)</f>
        <v>USD</v>
      </c>
      <c r="DF112" s="1"/>
      <c r="DG112" s="1"/>
      <c r="DH112" s="1"/>
      <c r="DI112" s="1"/>
      <c r="DJ112" s="4"/>
      <c r="DK112" s="1" t="s">
        <v>60</v>
      </c>
      <c r="DL112" s="1"/>
      <c r="DM112" s="1"/>
      <c r="DN112" s="8" t="e">
        <f>SUM(DP111+DN111)</f>
        <v>#REF!</v>
      </c>
      <c r="DO112" s="8"/>
      <c r="DP112" s="8"/>
      <c r="DQ112" s="8"/>
      <c r="DR112" s="1"/>
    </row>
    <row r="113" spans="83:122" x14ac:dyDescent="0.25">
      <c r="CE113" s="1"/>
      <c r="CF113" s="1" t="s">
        <v>230</v>
      </c>
      <c r="CG113" s="1" t="s">
        <v>233</v>
      </c>
      <c r="CH113" s="1" t="s">
        <v>230</v>
      </c>
      <c r="CI113" s="1" t="e">
        <f>[2]!GOLD</f>
        <v>#NAME?</v>
      </c>
      <c r="CJ113" s="1" t="e">
        <f>[3]!GOLD</f>
        <v>#NAME?</v>
      </c>
      <c r="CK113" s="1" t="e">
        <f>[4]!GOLD</f>
        <v>#NAME?</v>
      </c>
      <c r="CL113" s="1" t="e">
        <f>[5]!GOLD</f>
        <v>#NAME?</v>
      </c>
      <c r="CM113" s="4" t="e">
        <f t="shared" si="84"/>
        <v>#NAME?</v>
      </c>
      <c r="CN113" s="4" t="e">
        <f t="shared" si="85"/>
        <v>#NAME?</v>
      </c>
      <c r="CO113" s="4"/>
      <c r="CP113" s="1" t="b">
        <f>ISERR(CM113)</f>
        <v>1</v>
      </c>
      <c r="CQ113" s="4">
        <f t="shared" si="86"/>
        <v>0</v>
      </c>
      <c r="CR113" s="1" t="str">
        <f t="shared" si="91"/>
        <v>Soybean Oil</v>
      </c>
      <c r="CS113" s="1"/>
      <c r="CT113" s="1" t="s">
        <v>234</v>
      </c>
      <c r="CU113" s="4">
        <f t="shared" si="92"/>
        <v>0</v>
      </c>
      <c r="CV113" s="1"/>
      <c r="CW113" s="1"/>
      <c r="CX113" s="1"/>
      <c r="CY113" s="1">
        <v>5</v>
      </c>
      <c r="CZ113" s="1" t="s">
        <v>48</v>
      </c>
      <c r="DA113" s="25">
        <f t="shared" si="89"/>
        <v>0.77879386316056198</v>
      </c>
      <c r="DB113" s="3"/>
      <c r="DC113" s="6">
        <f>LARGE(DA109:DA116,5)</f>
        <v>0.47499279830418295</v>
      </c>
      <c r="DD113" s="1">
        <f>MATCH(DC113,DA109:DA116,0)</f>
        <v>6</v>
      </c>
      <c r="DE113" s="1" t="str">
        <f>VLOOKUP(DD113,CY109:DA116,2,FALSE)</f>
        <v>CHF</v>
      </c>
      <c r="DF113" s="1"/>
      <c r="DG113" s="1"/>
      <c r="DH113" s="1"/>
      <c r="DI113" s="1"/>
      <c r="DJ113" s="4"/>
      <c r="DK113" s="1" t="s">
        <v>61</v>
      </c>
      <c r="DL113" s="1"/>
      <c r="DM113" s="1"/>
      <c r="DN113" s="8" t="e">
        <f>SUM(DQ111-DN111)*-1</f>
        <v>#REF!</v>
      </c>
      <c r="DO113" s="8"/>
      <c r="DP113" s="8"/>
      <c r="DQ113" s="8"/>
      <c r="DR113" s="1"/>
    </row>
    <row r="114" spans="83:122" x14ac:dyDescent="0.25">
      <c r="CE114" s="1"/>
      <c r="CF114" s="1" t="s">
        <v>235</v>
      </c>
      <c r="CG114" s="1" t="s">
        <v>236</v>
      </c>
      <c r="CH114" s="1" t="s">
        <v>237</v>
      </c>
      <c r="CI114" s="1" t="e">
        <f>[2]!'#LBSN5'</f>
        <v>#NAME?</v>
      </c>
      <c r="CJ114" s="1" t="e">
        <f>[3]!'#LBSN5'</f>
        <v>#NAME?</v>
      </c>
      <c r="CK114" s="1" t="e">
        <f>[4]!'#LBSN5'</f>
        <v>#NAME?</v>
      </c>
      <c r="CL114" s="1" t="e">
        <f>[5]!'#LBSN5'</f>
        <v>#NAME?</v>
      </c>
      <c r="CM114" s="4" t="e">
        <f>(100*(CK114-CJ114)/(CI114-CJ114))/100</f>
        <v>#NAME?</v>
      </c>
      <c r="CN114" s="4" t="e">
        <f>(CI114-CL114)/(CI114-CJ114)</f>
        <v>#NAME?</v>
      </c>
      <c r="CO114" s="1"/>
      <c r="CP114" s="1"/>
      <c r="CQ114" s="4"/>
      <c r="CR114" s="1" t="str">
        <f t="shared" si="91"/>
        <v>Soybean Meal</v>
      </c>
      <c r="CS114" s="1"/>
      <c r="CT114" s="1" t="s">
        <v>238</v>
      </c>
      <c r="CU114" s="4">
        <f t="shared" si="92"/>
        <v>0</v>
      </c>
      <c r="CV114" s="1"/>
      <c r="CW114" s="1"/>
      <c r="CX114" s="1"/>
      <c r="CY114" s="1">
        <v>6</v>
      </c>
      <c r="CZ114" s="1" t="s">
        <v>49</v>
      </c>
      <c r="DA114" s="3">
        <f t="shared" si="89"/>
        <v>0.47499279830418295</v>
      </c>
      <c r="DB114" s="3"/>
      <c r="DC114" s="6">
        <f>LARGE(DA109:DA116,6)</f>
        <v>0.41063694243944848</v>
      </c>
      <c r="DD114" s="1">
        <f>MATCH(DC114,DA109:DA116,0)</f>
        <v>1</v>
      </c>
      <c r="DE114" s="1" t="str">
        <f>VLOOKUP(DD114,CY109:DA116,2,FALSE)</f>
        <v>EUR</v>
      </c>
      <c r="DF114" s="1"/>
      <c r="DG114" s="1"/>
      <c r="DH114" s="1"/>
      <c r="DI114" s="1"/>
      <c r="DJ114" s="4"/>
      <c r="DK114" s="1"/>
      <c r="DL114" s="1"/>
      <c r="DM114" s="1"/>
      <c r="DN114" s="1"/>
      <c r="DO114" s="1"/>
      <c r="DP114" s="1"/>
      <c r="DQ114" s="4"/>
      <c r="DR114" s="1"/>
    </row>
    <row r="115" spans="83:122" x14ac:dyDescent="0.25">
      <c r="CE115" s="1"/>
      <c r="CF115" s="1" t="s">
        <v>239</v>
      </c>
      <c r="CG115" s="1" t="s">
        <v>240</v>
      </c>
      <c r="CH115" s="1" t="s">
        <v>241</v>
      </c>
      <c r="CI115" s="1" t="e">
        <f>[2]!'#GFK5'</f>
        <v>#NAME?</v>
      </c>
      <c r="CJ115" s="1" t="e">
        <f>[3]!'#GFK5'</f>
        <v>#NAME?</v>
      </c>
      <c r="CK115" s="1" t="e">
        <f>[4]!'#GFK5'</f>
        <v>#NAME?</v>
      </c>
      <c r="CL115" s="1" t="e">
        <f>[5]!'#GFK5'</f>
        <v>#NAME?</v>
      </c>
      <c r="CM115" s="4" t="e">
        <f>(100*(CK115-CJ115)/(CI115-CJ115))/100</f>
        <v>#NAME?</v>
      </c>
      <c r="CN115" s="4" t="e">
        <f>(CI115-CL115)/(CI115-CJ115)</f>
        <v>#NAME?</v>
      </c>
      <c r="CO115" s="1"/>
      <c r="CP115" s="1"/>
      <c r="CQ115" s="1"/>
      <c r="CR115" s="1" t="str">
        <f t="shared" si="91"/>
        <v>Oats</v>
      </c>
      <c r="CS115" s="1"/>
      <c r="CT115" s="1" t="s">
        <v>242</v>
      </c>
      <c r="CU115" s="4">
        <f t="shared" si="92"/>
        <v>0</v>
      </c>
      <c r="CV115" s="1"/>
      <c r="CW115" s="1"/>
      <c r="CX115" s="1"/>
      <c r="CY115" s="1">
        <v>7</v>
      </c>
      <c r="CZ115" s="1" t="s">
        <v>51</v>
      </c>
      <c r="DA115" s="26">
        <f t="shared" si="89"/>
        <v>0.61593540038287209</v>
      </c>
      <c r="DB115" s="3"/>
      <c r="DC115" s="6">
        <f>LARGE(DA109:DA116,7)</f>
        <v>0.28549936424636019</v>
      </c>
      <c r="DD115" s="1">
        <f>MATCH(DC115,DA109:DA116,0)</f>
        <v>8</v>
      </c>
      <c r="DE115" s="1" t="str">
        <f>VLOOKUP(DD115,CY109:DA116,2,FALSE)</f>
        <v>JPY</v>
      </c>
      <c r="DF115" s="1"/>
      <c r="DG115" s="1"/>
      <c r="DH115" s="1"/>
      <c r="DI115" s="1"/>
      <c r="DJ115" s="4"/>
      <c r="DK115" s="1"/>
      <c r="DL115" s="1"/>
      <c r="DM115" s="1"/>
      <c r="DN115" s="1"/>
      <c r="DO115" s="1"/>
      <c r="DP115" s="1"/>
      <c r="DQ115" s="4"/>
      <c r="DR115" s="1"/>
    </row>
    <row r="116" spans="83:122" x14ac:dyDescent="0.25">
      <c r="CE116" s="1"/>
      <c r="CF116" s="1" t="s">
        <v>243</v>
      </c>
      <c r="CG116" s="1" t="s">
        <v>244</v>
      </c>
      <c r="CH116" s="1" t="s">
        <v>245</v>
      </c>
      <c r="CI116" s="1" t="e">
        <f>[2]!'#HEG5'</f>
        <v>#NAME?</v>
      </c>
      <c r="CJ116" s="1" t="e">
        <f>[3]!'#HEG5'</f>
        <v>#NAME?</v>
      </c>
      <c r="CK116" s="1" t="e">
        <f>[4]!'#HEG5'</f>
        <v>#NAME?</v>
      </c>
      <c r="CL116" s="1" t="e">
        <f>[5]!'#HEG5'</f>
        <v>#NAME?</v>
      </c>
      <c r="CM116" s="4" t="e">
        <f>(100*(CK116-CJ116)/(CI116-CJ116))/100</f>
        <v>#NAME?</v>
      </c>
      <c r="CN116" s="4" t="e">
        <f>(CI116-CL116)/(CI116-CJ116)</f>
        <v>#NAME?</v>
      </c>
      <c r="CO116" s="1"/>
      <c r="CP116" s="1"/>
      <c r="CQ116" s="1"/>
      <c r="CR116" s="1" t="str">
        <f t="shared" si="91"/>
        <v>Rough Rice</v>
      </c>
      <c r="CS116" s="1"/>
      <c r="CT116" s="1" t="s">
        <v>246</v>
      </c>
      <c r="CU116" s="4">
        <f t="shared" si="92"/>
        <v>0</v>
      </c>
      <c r="CV116" s="1"/>
      <c r="CW116" s="1"/>
      <c r="CX116" s="1"/>
      <c r="CY116" s="1">
        <v>8</v>
      </c>
      <c r="CZ116" s="1" t="s">
        <v>53</v>
      </c>
      <c r="DA116" s="27">
        <f t="shared" si="89"/>
        <v>0.28549936424636019</v>
      </c>
      <c r="DB116" s="3"/>
      <c r="DC116" s="6">
        <f>LARGE(DA109:DA116,8)</f>
        <v>0.1661745638257123</v>
      </c>
      <c r="DD116" s="1">
        <f>MATCH(DC116,DA109:DA116,0)</f>
        <v>4</v>
      </c>
      <c r="DE116" s="1" t="str">
        <f>VLOOKUP(DD116,CY109:DA116,2,FALSE)</f>
        <v>NZD</v>
      </c>
      <c r="DF116" s="1"/>
      <c r="DG116" s="1"/>
      <c r="DH116" s="1"/>
      <c r="DI116" s="1"/>
      <c r="DJ116" s="4"/>
      <c r="DK116" s="1"/>
      <c r="DL116" s="1" t="s">
        <v>56</v>
      </c>
      <c r="DM116" s="1" t="s">
        <v>60</v>
      </c>
      <c r="DN116" s="1" t="s">
        <v>61</v>
      </c>
      <c r="DO116" s="1"/>
      <c r="DP116" s="1"/>
      <c r="DQ116" s="4"/>
      <c r="DR116" s="1"/>
    </row>
    <row r="117" spans="83:122" x14ac:dyDescent="0.25">
      <c r="CE117" s="1"/>
      <c r="CF117" s="1" t="s">
        <v>247</v>
      </c>
      <c r="CG117" s="1" t="s">
        <v>248</v>
      </c>
      <c r="CH117" s="1" t="s">
        <v>249</v>
      </c>
      <c r="CI117" s="1" t="e">
        <f>[2]!'#LEJ5'</f>
        <v>#NAME?</v>
      </c>
      <c r="CJ117" s="1" t="e">
        <f>[3]!'#LEJ5'</f>
        <v>#NAME?</v>
      </c>
      <c r="CK117" s="1" t="e">
        <f>[4]!'#LEJ5'</f>
        <v>#NAME?</v>
      </c>
      <c r="CL117" s="1" t="e">
        <f>[5]!'#LEJ5'</f>
        <v>#NAME?</v>
      </c>
      <c r="CM117" s="4" t="e">
        <f>(100*(CK117-CJ117)/(CI117-CJ117))/100</f>
        <v>#NAME?</v>
      </c>
      <c r="CN117" s="4" t="e">
        <f>(CI117-CL117)/(CI117-CJ117)</f>
        <v>#NAME?</v>
      </c>
      <c r="CO117" s="1"/>
      <c r="CP117" s="1"/>
      <c r="CQ117" s="1"/>
      <c r="CR117" s="1" t="str">
        <f t="shared" si="91"/>
        <v>Soybeans</v>
      </c>
      <c r="CS117" s="1"/>
      <c r="CT117" s="1" t="s">
        <v>250</v>
      </c>
      <c r="CU117" s="4">
        <f t="shared" si="92"/>
        <v>0</v>
      </c>
      <c r="CV117" s="1"/>
      <c r="CW117" s="1"/>
      <c r="CX117" s="1"/>
      <c r="CY117" s="1"/>
      <c r="CZ117" s="1"/>
      <c r="DA117" s="6"/>
      <c r="DB117" s="1"/>
      <c r="DC117" s="6"/>
      <c r="DD117" s="1"/>
      <c r="DE117" s="1"/>
      <c r="DF117" s="1"/>
      <c r="DG117" s="1"/>
      <c r="DH117" s="1"/>
      <c r="DI117" s="1"/>
      <c r="DJ117" s="4"/>
      <c r="DK117" s="1" t="s">
        <v>44</v>
      </c>
      <c r="DL117" s="8" t="e">
        <f>DN27</f>
        <v>#REF!</v>
      </c>
      <c r="DM117" s="8" t="e">
        <f>DN28</f>
        <v>#REF!</v>
      </c>
      <c r="DN117" s="8" t="e">
        <f>DN29</f>
        <v>#REF!</v>
      </c>
      <c r="DO117" s="1"/>
      <c r="DP117" s="8"/>
      <c r="DQ117" s="4"/>
      <c r="DR117" s="1"/>
    </row>
    <row r="118" spans="83:122" x14ac:dyDescent="0.25"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 t="str">
        <f t="shared" si="91"/>
        <v>Wheat</v>
      </c>
      <c r="CS118" s="1"/>
      <c r="CT118" s="1" t="s">
        <v>251</v>
      </c>
      <c r="CU118" s="4">
        <f t="shared" si="92"/>
        <v>0</v>
      </c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4"/>
      <c r="DK118" s="1" t="s">
        <v>45</v>
      </c>
      <c r="DL118" s="8" t="e">
        <f>DN39</f>
        <v>#REF!</v>
      </c>
      <c r="DM118" s="8" t="e">
        <f>DN40</f>
        <v>#REF!</v>
      </c>
      <c r="DN118" s="8" t="e">
        <f>DN41</f>
        <v>#REF!</v>
      </c>
      <c r="DO118" s="1"/>
      <c r="DP118" s="1"/>
      <c r="DQ118" s="4"/>
      <c r="DR118" s="1"/>
    </row>
    <row r="119" spans="83:122" x14ac:dyDescent="0.25">
      <c r="CE119" s="1"/>
      <c r="CF119" s="1" t="s">
        <v>252</v>
      </c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4"/>
      <c r="CR119" s="1" t="str">
        <f t="shared" ref="CR119:CR126" si="93">CF129</f>
        <v>NYBOT Cocoa(CC)</v>
      </c>
      <c r="CS119" s="1"/>
      <c r="CT119" s="1" t="s">
        <v>253</v>
      </c>
      <c r="CU119" s="4">
        <f t="shared" ref="CU119:CU126" si="94">CQ129</f>
        <v>0</v>
      </c>
      <c r="CV119" s="1"/>
      <c r="CW119" s="1"/>
      <c r="CX119" s="1"/>
      <c r="CY119" s="1"/>
      <c r="CZ119" s="1" t="s">
        <v>254</v>
      </c>
      <c r="DA119" s="1"/>
      <c r="DB119" s="1"/>
      <c r="DC119" s="1" t="s">
        <v>103</v>
      </c>
      <c r="DD119" s="1" t="s">
        <v>104</v>
      </c>
      <c r="DE119" s="1" t="s">
        <v>105</v>
      </c>
      <c r="DF119" s="1"/>
      <c r="DG119" s="1"/>
      <c r="DH119" s="1"/>
      <c r="DI119" s="1"/>
      <c r="DJ119" s="4"/>
      <c r="DK119" s="1" t="s">
        <v>46</v>
      </c>
      <c r="DL119" s="8" t="e">
        <f>DN51</f>
        <v>#REF!</v>
      </c>
      <c r="DM119" s="8" t="e">
        <f>DN52</f>
        <v>#REF!</v>
      </c>
      <c r="DN119" s="8" t="e">
        <f>DN53</f>
        <v>#REF!</v>
      </c>
      <c r="DO119" s="1"/>
      <c r="DP119" s="1"/>
      <c r="DQ119" s="1"/>
      <c r="DR119" s="1"/>
    </row>
    <row r="120" spans="83:122" x14ac:dyDescent="0.25">
      <c r="CE120" s="1"/>
      <c r="CF120" s="1" t="s">
        <v>255</v>
      </c>
      <c r="CG120" s="1" t="s">
        <v>232</v>
      </c>
      <c r="CH120" s="1" t="s">
        <v>232</v>
      </c>
      <c r="CI120" s="1" t="e">
        <f>[2]!'#ZCN5'</f>
        <v>#NAME?</v>
      </c>
      <c r="CJ120" s="1" t="e">
        <f>[3]!'#ZCN5'</f>
        <v>#NAME?</v>
      </c>
      <c r="CK120" s="1" t="e">
        <f>[4]!'#ZCN5'</f>
        <v>#NAME?</v>
      </c>
      <c r="CL120" s="1" t="e">
        <f>[5]!'#ZCN5'</f>
        <v>#NAME?</v>
      </c>
      <c r="CM120" s="4" t="e">
        <f t="shared" ref="CM120:CM126" si="95">(100*(CK120-CJ120)/(CI120-CJ120))/100</f>
        <v>#NAME?</v>
      </c>
      <c r="CN120" s="4" t="e">
        <f t="shared" ref="CN120:CN126" si="96">(CI120-CL120)/(CI120-CJ120)</f>
        <v>#NAME?</v>
      </c>
      <c r="CO120" s="1"/>
      <c r="CP120" s="1" t="b">
        <f t="shared" ref="CP120:CP126" si="97">ISERR(CM120)</f>
        <v>1</v>
      </c>
      <c r="CQ120" s="4">
        <f t="shared" ref="CQ120:CQ126" si="98">IF(CP120=FALSE,CM120,0%)</f>
        <v>0</v>
      </c>
      <c r="CR120" s="1" t="str">
        <f t="shared" si="93"/>
        <v>Cocoa</v>
      </c>
      <c r="CS120" s="1"/>
      <c r="CT120" s="1" t="s">
        <v>256</v>
      </c>
      <c r="CU120" s="4">
        <f t="shared" si="94"/>
        <v>0</v>
      </c>
      <c r="CV120" s="1"/>
      <c r="CW120" s="1"/>
      <c r="CX120" s="1"/>
      <c r="CY120" s="1">
        <v>1</v>
      </c>
      <c r="CZ120" s="1" t="s">
        <v>67</v>
      </c>
      <c r="DA120" s="19">
        <f t="shared" ref="DA120:DA127" si="99">CX44</f>
        <v>0.41063694243944848</v>
      </c>
      <c r="DB120" s="6"/>
      <c r="DC120" s="3">
        <f>LARGE(DA120:DA127,1)</f>
        <v>0.77879386316056198</v>
      </c>
      <c r="DD120" s="1">
        <f>MATCH(DC120,DA120:DA127,0)</f>
        <v>5</v>
      </c>
      <c r="DE120" s="1" t="str">
        <f>VLOOKUP(DD120,CY120:DA127,2,FALSE)</f>
        <v>CADx</v>
      </c>
      <c r="DF120" s="1"/>
      <c r="DG120" s="1"/>
      <c r="DH120" s="1"/>
      <c r="DI120" s="1"/>
      <c r="DJ120" s="4"/>
      <c r="DK120" s="1" t="s">
        <v>47</v>
      </c>
      <c r="DL120" s="8" t="e">
        <f>DN63</f>
        <v>#REF!</v>
      </c>
      <c r="DM120" s="8" t="e">
        <f>DN64</f>
        <v>#REF!</v>
      </c>
      <c r="DN120" s="8" t="e">
        <f>DN65</f>
        <v>#REF!</v>
      </c>
      <c r="DO120" s="1"/>
      <c r="DP120" s="1"/>
      <c r="DQ120" s="1"/>
      <c r="DR120" s="1"/>
    </row>
    <row r="121" spans="83:122" x14ac:dyDescent="0.25">
      <c r="CE121" s="1"/>
      <c r="CF121" s="1" t="s">
        <v>257</v>
      </c>
      <c r="CG121" s="1" t="s">
        <v>234</v>
      </c>
      <c r="CH121" s="1" t="s">
        <v>234</v>
      </c>
      <c r="CI121" s="1" t="e">
        <f>[2]!'#ZLN5'</f>
        <v>#NAME?</v>
      </c>
      <c r="CJ121" s="1" t="e">
        <f>[3]!'#ZLN5'</f>
        <v>#NAME?</v>
      </c>
      <c r="CK121" s="1" t="e">
        <f>[4]!'#ZLN5'</f>
        <v>#NAME?</v>
      </c>
      <c r="CL121" s="1" t="e">
        <f>[5]!'#ZLN5'</f>
        <v>#NAME?</v>
      </c>
      <c r="CM121" s="4" t="e">
        <f t="shared" si="95"/>
        <v>#NAME?</v>
      </c>
      <c r="CN121" s="4" t="e">
        <f t="shared" si="96"/>
        <v>#NAME?</v>
      </c>
      <c r="CO121" s="1"/>
      <c r="CP121" s="1" t="b">
        <f t="shared" si="97"/>
        <v>1</v>
      </c>
      <c r="CQ121" s="4">
        <f t="shared" si="98"/>
        <v>0</v>
      </c>
      <c r="CR121" s="1" t="str">
        <f t="shared" si="93"/>
        <v>NYBOT Cotton No. 2</v>
      </c>
      <c r="CS121" s="1"/>
      <c r="CT121" s="1" t="s">
        <v>258</v>
      </c>
      <c r="CU121" s="4">
        <f t="shared" si="94"/>
        <v>0</v>
      </c>
      <c r="CV121" s="1"/>
      <c r="CW121" s="1"/>
      <c r="CX121" s="1"/>
      <c r="CY121" s="1">
        <v>2</v>
      </c>
      <c r="CZ121" s="1" t="s">
        <v>71</v>
      </c>
      <c r="DA121" s="21">
        <f t="shared" si="99"/>
        <v>0.61692829997703169</v>
      </c>
      <c r="DB121" s="6"/>
      <c r="DC121" s="3">
        <f>LARGE(DA120:DA127,2)</f>
        <v>0.65103876766383018</v>
      </c>
      <c r="DD121" s="1">
        <f>MATCH(DC121,DA120:DA127,0)</f>
        <v>3</v>
      </c>
      <c r="DE121" s="1" t="str">
        <f>VLOOKUP(DD121,CY120:DA127,2,FALSE)</f>
        <v>AUDx</v>
      </c>
      <c r="DF121" s="1"/>
      <c r="DG121" s="1"/>
      <c r="DH121" s="1"/>
      <c r="DI121" s="1"/>
      <c r="DJ121" s="4"/>
      <c r="DK121" s="1" t="s">
        <v>48</v>
      </c>
      <c r="DL121" s="8" t="e">
        <f>DN75</f>
        <v>#REF!</v>
      </c>
      <c r="DM121" s="8" t="e">
        <f>DN76</f>
        <v>#REF!</v>
      </c>
      <c r="DN121" s="8" t="e">
        <f>DN77</f>
        <v>#REF!</v>
      </c>
      <c r="DO121" s="1"/>
      <c r="DP121" s="1"/>
      <c r="DQ121" s="1"/>
      <c r="DR121" s="1"/>
    </row>
    <row r="122" spans="83:122" x14ac:dyDescent="0.25">
      <c r="CE122" s="1"/>
      <c r="CF122" s="1" t="s">
        <v>259</v>
      </c>
      <c r="CG122" s="1" t="s">
        <v>238</v>
      </c>
      <c r="CH122" s="1" t="s">
        <v>238</v>
      </c>
      <c r="CI122" s="1" t="e">
        <f>[2]!'#ZMN5'</f>
        <v>#NAME?</v>
      </c>
      <c r="CJ122" s="1" t="e">
        <f>[3]!'#ZMN5'</f>
        <v>#NAME?</v>
      </c>
      <c r="CK122" s="1" t="e">
        <f>[4]!'#ZMN5'</f>
        <v>#NAME?</v>
      </c>
      <c r="CL122" s="1" t="e">
        <f>[5]!'#ZMN5'</f>
        <v>#NAME?</v>
      </c>
      <c r="CM122" s="4" t="e">
        <f t="shared" si="95"/>
        <v>#NAME?</v>
      </c>
      <c r="CN122" s="4" t="e">
        <f t="shared" si="96"/>
        <v>#NAME?</v>
      </c>
      <c r="CO122" s="1"/>
      <c r="CP122" s="1" t="b">
        <f t="shared" si="97"/>
        <v>1</v>
      </c>
      <c r="CQ122" s="4">
        <f t="shared" si="98"/>
        <v>0</v>
      </c>
      <c r="CR122" s="1" t="str">
        <f t="shared" si="93"/>
        <v>NYBOT Orange Juice(OJ)</v>
      </c>
      <c r="CS122" s="1"/>
      <c r="CT122" s="1" t="s">
        <v>260</v>
      </c>
      <c r="CU122" s="4">
        <f t="shared" si="94"/>
        <v>0</v>
      </c>
      <c r="CV122" s="1"/>
      <c r="CW122" s="1"/>
      <c r="CX122" s="1"/>
      <c r="CY122" s="1">
        <v>3</v>
      </c>
      <c r="CZ122" s="1" t="s">
        <v>75</v>
      </c>
      <c r="DA122" s="23">
        <f t="shared" si="99"/>
        <v>0.65103876766383018</v>
      </c>
      <c r="DB122" s="6"/>
      <c r="DC122" s="3">
        <f>LARGE(DA120:DA127,3)</f>
        <v>0.61692829997703169</v>
      </c>
      <c r="DD122" s="1">
        <f>MATCH(DC122,DA120:DA127,0)</f>
        <v>2</v>
      </c>
      <c r="DE122" s="1" t="str">
        <f>VLOOKUP(DD122,CY120:DA127,2,FALSE)</f>
        <v>GBPx</v>
      </c>
      <c r="DF122" s="1"/>
      <c r="DG122" s="1"/>
      <c r="DH122" s="1"/>
      <c r="DI122" s="1"/>
      <c r="DJ122" s="4"/>
      <c r="DK122" s="1" t="s">
        <v>49</v>
      </c>
      <c r="DL122" s="8" t="e">
        <f>DN87</f>
        <v>#REF!</v>
      </c>
      <c r="DM122" s="8" t="e">
        <f>DN88</f>
        <v>#REF!</v>
      </c>
      <c r="DN122" s="8" t="e">
        <f>DN89</f>
        <v>#REF!</v>
      </c>
      <c r="DO122" s="1"/>
      <c r="DP122" s="1"/>
      <c r="DQ122" s="1"/>
      <c r="DR122" s="1"/>
    </row>
    <row r="123" spans="83:122" x14ac:dyDescent="0.25">
      <c r="CE123" s="1"/>
      <c r="CF123" s="1" t="s">
        <v>261</v>
      </c>
      <c r="CG123" s="1" t="s">
        <v>242</v>
      </c>
      <c r="CH123" s="1" t="s">
        <v>242</v>
      </c>
      <c r="CI123" s="1" t="e">
        <f>[2]!'#ZLK5'</f>
        <v>#NAME?</v>
      </c>
      <c r="CJ123" s="1" t="e">
        <f>[3]!'#ZLK5'</f>
        <v>#NAME?</v>
      </c>
      <c r="CK123" s="1" t="e">
        <f>[4]!'#ZLK5'</f>
        <v>#NAME?</v>
      </c>
      <c r="CL123" s="1" t="e">
        <f>[5]!'#ZLK5'</f>
        <v>#NAME?</v>
      </c>
      <c r="CM123" s="4" t="e">
        <f t="shared" si="95"/>
        <v>#NAME?</v>
      </c>
      <c r="CN123" s="4" t="e">
        <f t="shared" si="96"/>
        <v>#NAME?</v>
      </c>
      <c r="CO123" s="1"/>
      <c r="CP123" s="1" t="b">
        <f t="shared" si="97"/>
        <v>1</v>
      </c>
      <c r="CQ123" s="4">
        <f t="shared" si="98"/>
        <v>0</v>
      </c>
      <c r="CR123" s="1" t="str">
        <f t="shared" si="93"/>
        <v>NYBOT Coffee</v>
      </c>
      <c r="CS123" s="1"/>
      <c r="CT123" s="1" t="s">
        <v>262</v>
      </c>
      <c r="CU123" s="4">
        <f t="shared" si="94"/>
        <v>0</v>
      </c>
      <c r="CV123" s="1"/>
      <c r="CW123" s="1" t="s">
        <v>192</v>
      </c>
      <c r="CX123" s="1"/>
      <c r="CY123" s="1">
        <v>4</v>
      </c>
      <c r="CZ123" s="1" t="s">
        <v>79</v>
      </c>
      <c r="DA123" s="24">
        <f t="shared" si="99"/>
        <v>0.1661745638257123</v>
      </c>
      <c r="DB123" s="6"/>
      <c r="DC123" s="3">
        <f>LARGE(DA120:DA127,4)</f>
        <v>0.61593540038287209</v>
      </c>
      <c r="DD123" s="1">
        <f>MATCH(DC123,DA120:DA127,0)</f>
        <v>7</v>
      </c>
      <c r="DE123" s="1" t="str">
        <f>VLOOKUP(DD123,CY120:DA127,2,FALSE)</f>
        <v>USDx</v>
      </c>
      <c r="DF123" s="1"/>
      <c r="DG123" s="1"/>
      <c r="DH123" s="1"/>
      <c r="DI123" s="1"/>
      <c r="DJ123" s="4"/>
      <c r="DK123" s="1" t="s">
        <v>51</v>
      </c>
      <c r="DL123" s="8" t="e">
        <f>DN99</f>
        <v>#REF!</v>
      </c>
      <c r="DM123" s="8" t="e">
        <f>DN100</f>
        <v>#REF!</v>
      </c>
      <c r="DN123" s="8" t="e">
        <f>DN101</f>
        <v>#REF!</v>
      </c>
      <c r="DO123" s="1"/>
      <c r="DP123" s="1"/>
      <c r="DQ123" s="1"/>
      <c r="DR123" s="1"/>
    </row>
    <row r="124" spans="83:122" x14ac:dyDescent="0.25">
      <c r="CE124" s="1"/>
      <c r="CF124" s="1" t="s">
        <v>263</v>
      </c>
      <c r="CG124" s="1" t="s">
        <v>246</v>
      </c>
      <c r="CH124" s="1" t="s">
        <v>246</v>
      </c>
      <c r="CI124" s="1" t="e">
        <f>[2]!'#ZMN5'</f>
        <v>#NAME?</v>
      </c>
      <c r="CJ124" s="1" t="e">
        <f>[3]!'#ZMN5'</f>
        <v>#NAME?</v>
      </c>
      <c r="CK124" s="1" t="e">
        <f>[4]!'#ZMN5'</f>
        <v>#NAME?</v>
      </c>
      <c r="CL124" s="1" t="e">
        <f>[5]!'#ZMN5'</f>
        <v>#NAME?</v>
      </c>
      <c r="CM124" s="4" t="e">
        <f t="shared" si="95"/>
        <v>#NAME?</v>
      </c>
      <c r="CN124" s="4" t="e">
        <f t="shared" si="96"/>
        <v>#NAME?</v>
      </c>
      <c r="CO124" s="1"/>
      <c r="CP124" s="1" t="b">
        <f t="shared" si="97"/>
        <v>1</v>
      </c>
      <c r="CQ124" s="4">
        <f t="shared" si="98"/>
        <v>0</v>
      </c>
      <c r="CR124" s="1" t="str">
        <f t="shared" si="93"/>
        <v>Robusta Coffee (10T) Series 409</v>
      </c>
      <c r="CS124" s="1"/>
      <c r="CT124" s="1" t="s">
        <v>264</v>
      </c>
      <c r="CU124" s="4">
        <f t="shared" si="94"/>
        <v>0</v>
      </c>
      <c r="CV124" s="1"/>
      <c r="CW124" s="1"/>
      <c r="CX124" s="1"/>
      <c r="CY124" s="1">
        <v>5</v>
      </c>
      <c r="CZ124" s="1" t="s">
        <v>83</v>
      </c>
      <c r="DA124" s="25">
        <f t="shared" si="99"/>
        <v>0.77879386316056198</v>
      </c>
      <c r="DB124" s="6"/>
      <c r="DC124" s="3">
        <f>LARGE(DA120:DA127,5)</f>
        <v>0.47499279830418295</v>
      </c>
      <c r="DD124" s="1">
        <f>MATCH(DC124,DA120:DA127,0)</f>
        <v>6</v>
      </c>
      <c r="DE124" s="1" t="str">
        <f>VLOOKUP(DD124,CY120:DA127,2,FALSE)</f>
        <v>CHFx</v>
      </c>
      <c r="DF124" s="1"/>
      <c r="DG124" s="1"/>
      <c r="DH124" s="1"/>
      <c r="DI124" s="1"/>
      <c r="DJ124" s="4"/>
      <c r="DK124" s="1" t="s">
        <v>53</v>
      </c>
      <c r="DL124" s="8" t="e">
        <f>DN111</f>
        <v>#REF!</v>
      </c>
      <c r="DM124" s="8" t="e">
        <f>DN112</f>
        <v>#REF!</v>
      </c>
      <c r="DN124" s="8" t="e">
        <f>DN113</f>
        <v>#REF!</v>
      </c>
      <c r="DO124" s="1"/>
      <c r="DP124" s="1"/>
      <c r="DQ124" s="1"/>
      <c r="DR124" s="1"/>
    </row>
    <row r="125" spans="83:122" x14ac:dyDescent="0.25">
      <c r="CE125" s="1"/>
      <c r="CF125" s="1" t="s">
        <v>265</v>
      </c>
      <c r="CG125" s="1" t="s">
        <v>250</v>
      </c>
      <c r="CH125" s="1" t="s">
        <v>250</v>
      </c>
      <c r="CI125" s="1" t="e">
        <f>[2]!'#ZSN5'</f>
        <v>#NAME?</v>
      </c>
      <c r="CJ125" s="1" t="e">
        <f>[3]!'#ZSN5'</f>
        <v>#NAME?</v>
      </c>
      <c r="CK125" s="1" t="e">
        <f>[4]!'#ZSN5'</f>
        <v>#NAME?</v>
      </c>
      <c r="CL125" s="1" t="e">
        <f>[5]!'#ZSN5'</f>
        <v>#NAME?</v>
      </c>
      <c r="CM125" s="4" t="e">
        <f t="shared" si="95"/>
        <v>#NAME?</v>
      </c>
      <c r="CN125" s="4" t="e">
        <f t="shared" si="96"/>
        <v>#NAME?</v>
      </c>
      <c r="CO125" s="1"/>
      <c r="CP125" s="1" t="b">
        <f t="shared" si="97"/>
        <v>1</v>
      </c>
      <c r="CQ125" s="4">
        <f t="shared" si="98"/>
        <v>0</v>
      </c>
      <c r="CR125" s="1" t="str">
        <f t="shared" si="93"/>
        <v>NYBOT Sugar No. 11</v>
      </c>
      <c r="CS125" s="1"/>
      <c r="CT125" s="1" t="s">
        <v>266</v>
      </c>
      <c r="CU125" s="4">
        <f t="shared" si="94"/>
        <v>0</v>
      </c>
      <c r="CV125" s="1"/>
      <c r="CW125" s="1"/>
      <c r="CX125" s="1"/>
      <c r="CY125" s="1">
        <v>6</v>
      </c>
      <c r="CZ125" s="1" t="s">
        <v>87</v>
      </c>
      <c r="DA125" s="3">
        <f t="shared" si="99"/>
        <v>0.47499279830418295</v>
      </c>
      <c r="DB125" s="6"/>
      <c r="DC125" s="3">
        <f>LARGE(DA120:DA127,6)</f>
        <v>0.41063694243944848</v>
      </c>
      <c r="DD125" s="1">
        <f>MATCH(DC125,DA120:DA127,0)</f>
        <v>1</v>
      </c>
      <c r="DE125" s="1" t="str">
        <f>VLOOKUP(DD125,CY120:DA127,2,FALSE)</f>
        <v>EURx</v>
      </c>
      <c r="DF125" s="1"/>
      <c r="DG125" s="1"/>
      <c r="DH125" s="1"/>
      <c r="DI125" s="1"/>
      <c r="DJ125" s="4"/>
      <c r="DK125" s="1"/>
      <c r="DL125" s="1"/>
      <c r="DM125" s="1"/>
      <c r="DN125" s="1"/>
      <c r="DO125" s="1"/>
      <c r="DP125" s="1"/>
      <c r="DQ125" s="1"/>
      <c r="DR125" s="1"/>
    </row>
    <row r="126" spans="83:122" x14ac:dyDescent="0.25">
      <c r="CE126" s="1"/>
      <c r="CF126" s="1" t="s">
        <v>267</v>
      </c>
      <c r="CG126" s="1" t="s">
        <v>251</v>
      </c>
      <c r="CH126" s="1" t="s">
        <v>251</v>
      </c>
      <c r="CI126" s="1" t="e">
        <f>[2]!'#ZWN5'</f>
        <v>#NAME?</v>
      </c>
      <c r="CJ126" s="1" t="e">
        <f>[3]!'#ZWN5'</f>
        <v>#NAME?</v>
      </c>
      <c r="CK126" s="1" t="e">
        <f>[4]!'#ZWN5'</f>
        <v>#NAME?</v>
      </c>
      <c r="CL126" s="1" t="e">
        <f>[5]!'#ZWN5'</f>
        <v>#NAME?</v>
      </c>
      <c r="CM126" s="4" t="e">
        <f t="shared" si="95"/>
        <v>#NAME?</v>
      </c>
      <c r="CN126" s="4" t="e">
        <f t="shared" si="96"/>
        <v>#NAME?</v>
      </c>
      <c r="CO126" s="4"/>
      <c r="CP126" s="1" t="b">
        <f t="shared" si="97"/>
        <v>1</v>
      </c>
      <c r="CQ126" s="4">
        <f t="shared" si="98"/>
        <v>0</v>
      </c>
      <c r="CR126" s="1" t="str">
        <f t="shared" si="93"/>
        <v>White Sugar (No. 5)</v>
      </c>
      <c r="CS126" s="1"/>
      <c r="CT126" s="1" t="s">
        <v>268</v>
      </c>
      <c r="CU126" s="4">
        <f t="shared" si="94"/>
        <v>0</v>
      </c>
      <c r="CV126" s="1"/>
      <c r="CW126" s="1"/>
      <c r="CX126" s="1"/>
      <c r="CY126" s="1">
        <v>7</v>
      </c>
      <c r="CZ126" s="1" t="s">
        <v>91</v>
      </c>
      <c r="DA126" s="26">
        <f t="shared" si="99"/>
        <v>0.61593540038287209</v>
      </c>
      <c r="DB126" s="6"/>
      <c r="DC126" s="3">
        <f>LARGE(DA120:DA127,7)</f>
        <v>0.28549936424636019</v>
      </c>
      <c r="DD126" s="1">
        <f>MATCH(DC126,DA120:DA127,0)</f>
        <v>8</v>
      </c>
      <c r="DE126" s="1" t="str">
        <f>VLOOKUP(DD126,CY120:DA127,2,FALSE)</f>
        <v>JPYx</v>
      </c>
      <c r="DF126" s="1"/>
      <c r="DG126" s="1"/>
      <c r="DH126" s="1"/>
      <c r="DI126" s="1"/>
      <c r="DJ126" s="4"/>
      <c r="DK126" s="1"/>
      <c r="DL126" s="1"/>
      <c r="DM126" s="1"/>
      <c r="DN126" s="1"/>
      <c r="DO126" s="1"/>
      <c r="DP126" s="1"/>
      <c r="DQ126" s="1"/>
      <c r="DR126" s="1"/>
    </row>
    <row r="127" spans="83:122" x14ac:dyDescent="0.25"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4"/>
      <c r="CR127" s="1">
        <f>CF139</f>
        <v>0</v>
      </c>
      <c r="CS127" s="1"/>
      <c r="CT127" s="1" t="s">
        <v>269</v>
      </c>
      <c r="CU127" s="4">
        <f>CQ139</f>
        <v>0</v>
      </c>
      <c r="CV127" s="1"/>
      <c r="CW127" s="1"/>
      <c r="CX127" s="1"/>
      <c r="CY127" s="1">
        <v>8</v>
      </c>
      <c r="CZ127" s="1" t="s">
        <v>95</v>
      </c>
      <c r="DA127" s="27">
        <f t="shared" si="99"/>
        <v>0.28549936424636019</v>
      </c>
      <c r="DB127" s="6"/>
      <c r="DC127" s="3">
        <f>LARGE(DA120:DA127,8)</f>
        <v>0.1661745638257123</v>
      </c>
      <c r="DD127" s="1">
        <f>MATCH(DC127,DA120:DA127,0)</f>
        <v>4</v>
      </c>
      <c r="DE127" s="1" t="str">
        <f>VLOOKUP(DD127,CY120:DA127,2,FALSE)</f>
        <v>NZDx</v>
      </c>
      <c r="DF127" s="1"/>
      <c r="DG127" s="1"/>
      <c r="DH127" s="1"/>
      <c r="DI127" s="1"/>
      <c r="DJ127" s="4"/>
      <c r="DK127" s="1"/>
      <c r="DL127" s="1"/>
      <c r="DM127" s="1"/>
      <c r="DN127" s="1"/>
      <c r="DO127" s="1"/>
      <c r="DP127" s="1"/>
      <c r="DQ127" s="1"/>
      <c r="DR127" s="1"/>
    </row>
    <row r="128" spans="83:122" x14ac:dyDescent="0.25">
      <c r="CE128" s="1"/>
      <c r="CF128" s="1" t="s">
        <v>270</v>
      </c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4"/>
      <c r="CR128" s="1">
        <f>CF140</f>
        <v>0</v>
      </c>
      <c r="CS128" s="1"/>
      <c r="CT128" s="1" t="s">
        <v>271</v>
      </c>
      <c r="CU128" s="4">
        <f>CQ140</f>
        <v>0</v>
      </c>
      <c r="CV128" s="1"/>
      <c r="CW128" s="1"/>
      <c r="CX128" s="1"/>
      <c r="CY128" s="1"/>
      <c r="CZ128" s="1"/>
      <c r="DA128" s="3"/>
      <c r="DB128" s="6"/>
      <c r="DC128" s="3"/>
      <c r="DD128" s="1"/>
      <c r="DE128" s="1"/>
      <c r="DF128" s="1"/>
      <c r="DG128" s="1"/>
      <c r="DH128" s="1"/>
      <c r="DI128" s="1"/>
      <c r="DJ128" s="4"/>
      <c r="DK128" s="1"/>
      <c r="DL128" s="1"/>
      <c r="DM128" s="1"/>
      <c r="DN128" s="1"/>
      <c r="DO128" s="1"/>
      <c r="DP128" s="1"/>
      <c r="DQ128" s="1"/>
      <c r="DR128" s="1"/>
    </row>
    <row r="129" spans="83:122" x14ac:dyDescent="0.25">
      <c r="CE129" s="1"/>
      <c r="CF129" s="1" t="s">
        <v>272</v>
      </c>
      <c r="CG129" s="1" t="s">
        <v>253</v>
      </c>
      <c r="CH129" s="1" t="s">
        <v>253</v>
      </c>
      <c r="CI129" s="1" t="e">
        <f>[2]!'#CCN5'</f>
        <v>#NAME?</v>
      </c>
      <c r="CJ129" s="1" t="e">
        <f>[3]!'#CCN5'</f>
        <v>#NAME?</v>
      </c>
      <c r="CK129" s="1" t="e">
        <f>[4]!'#CCN5'</f>
        <v>#NAME?</v>
      </c>
      <c r="CL129" s="1" t="e">
        <f>[5]!'#CCN5'</f>
        <v>#NAME?</v>
      </c>
      <c r="CM129" s="4" t="e">
        <f t="shared" ref="CM129:CM136" si="100">(100*(CK129-CJ129)/(CI129-CJ129))/100</f>
        <v>#NAME?</v>
      </c>
      <c r="CN129" s="4" t="e">
        <f t="shared" ref="CN129:CN136" si="101">(CI129-CL129)/(CI129-CJ129)</f>
        <v>#NAME?</v>
      </c>
      <c r="CO129" s="1"/>
      <c r="CP129" s="1" t="b">
        <f t="shared" ref="CP129:CP136" si="102">ISERR(CM129)</f>
        <v>1</v>
      </c>
      <c r="CQ129" s="4">
        <f t="shared" ref="CQ129:CQ136" si="103">IF(CP129=FALSE,CM129,0%)</f>
        <v>0</v>
      </c>
      <c r="CR129" s="1">
        <f>CF141</f>
        <v>0</v>
      </c>
      <c r="CS129" s="1"/>
      <c r="CT129" s="1" t="s">
        <v>273</v>
      </c>
      <c r="CU129" s="4">
        <f>CQ141</f>
        <v>0</v>
      </c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4"/>
      <c r="DK129" s="1"/>
      <c r="DL129" s="1"/>
      <c r="DM129" s="1"/>
      <c r="DN129" s="1"/>
      <c r="DO129" s="1"/>
      <c r="DP129" s="1"/>
      <c r="DQ129" s="1"/>
      <c r="DR129" s="1"/>
    </row>
    <row r="130" spans="83:122" x14ac:dyDescent="0.25">
      <c r="CE130" s="1"/>
      <c r="CF130" s="1" t="s">
        <v>274</v>
      </c>
      <c r="CG130" s="1" t="s">
        <v>256</v>
      </c>
      <c r="CH130" s="1" t="s">
        <v>256</v>
      </c>
      <c r="CI130" s="1" t="e">
        <f>[2]!'#CCH5'</f>
        <v>#NAME?</v>
      </c>
      <c r="CJ130" s="1" t="e">
        <f>[3]!'#CCH5'</f>
        <v>#NAME?</v>
      </c>
      <c r="CK130" s="1" t="e">
        <f>[4]!'#CCH5'</f>
        <v>#NAME?</v>
      </c>
      <c r="CL130" s="1" t="e">
        <f>[5]!'#CCH5'</f>
        <v>#NAME?</v>
      </c>
      <c r="CM130" s="4" t="e">
        <f t="shared" si="100"/>
        <v>#NAME?</v>
      </c>
      <c r="CN130" s="4" t="e">
        <f t="shared" si="101"/>
        <v>#NAME?</v>
      </c>
      <c r="CO130" s="1"/>
      <c r="CP130" s="1" t="b">
        <f t="shared" si="102"/>
        <v>1</v>
      </c>
      <c r="CQ130" s="4">
        <f t="shared" si="103"/>
        <v>0</v>
      </c>
      <c r="CR130" s="1">
        <f>CF142</f>
        <v>0</v>
      </c>
      <c r="CS130" s="1"/>
      <c r="CT130" s="1" t="s">
        <v>275</v>
      </c>
      <c r="CU130" s="4">
        <f>CQ142</f>
        <v>0</v>
      </c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4"/>
      <c r="DK130" s="1"/>
      <c r="DL130" s="1"/>
      <c r="DM130" s="1"/>
      <c r="DN130" s="1"/>
      <c r="DO130" s="1"/>
      <c r="DP130" s="1"/>
      <c r="DQ130" s="1"/>
      <c r="DR130" s="1"/>
    </row>
    <row r="131" spans="83:122" x14ac:dyDescent="0.25">
      <c r="CE131" s="1"/>
      <c r="CF131" s="1" t="s">
        <v>276</v>
      </c>
      <c r="CG131" s="1" t="s">
        <v>258</v>
      </c>
      <c r="CH131" s="1" t="s">
        <v>258</v>
      </c>
      <c r="CI131" s="1" t="e">
        <f>[2]!'#CTH5'</f>
        <v>#NAME?</v>
      </c>
      <c r="CJ131" s="1" t="e">
        <f>[3]!'#CTH5'</f>
        <v>#NAME?</v>
      </c>
      <c r="CK131" s="1" t="e">
        <f>[4]!'#CTH5'</f>
        <v>#NAME?</v>
      </c>
      <c r="CL131" s="1" t="e">
        <f>[5]!'#CTH5'</f>
        <v>#NAME?</v>
      </c>
      <c r="CM131" s="4" t="e">
        <f t="shared" si="100"/>
        <v>#NAME?</v>
      </c>
      <c r="CN131" s="4" t="e">
        <f t="shared" si="101"/>
        <v>#NAME?</v>
      </c>
      <c r="CO131" s="1"/>
      <c r="CP131" s="1" t="b">
        <f t="shared" si="102"/>
        <v>1</v>
      </c>
      <c r="CQ131" s="4">
        <f t="shared" si="103"/>
        <v>0</v>
      </c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4"/>
      <c r="DK131" s="1"/>
      <c r="DL131" s="1"/>
      <c r="DM131" s="1"/>
      <c r="DN131" s="1"/>
      <c r="DO131" s="1"/>
      <c r="DP131" s="1"/>
      <c r="DQ131" s="1"/>
      <c r="DR131" s="1"/>
    </row>
    <row r="132" spans="83:122" x14ac:dyDescent="0.25">
      <c r="CE132" s="1"/>
      <c r="CF132" s="1" t="s">
        <v>277</v>
      </c>
      <c r="CG132" s="1" t="s">
        <v>260</v>
      </c>
      <c r="CH132" s="1" t="s">
        <v>260</v>
      </c>
      <c r="CI132" s="1" t="e">
        <f>[2]!'#JON5'</f>
        <v>#NAME?</v>
      </c>
      <c r="CJ132" s="1" t="e">
        <f>[3]!'#JON5'</f>
        <v>#NAME?</v>
      </c>
      <c r="CK132" s="1" t="e">
        <f>[4]!'#JON5'</f>
        <v>#NAME?</v>
      </c>
      <c r="CL132" s="1" t="e">
        <f>[5]!'#JON5'</f>
        <v>#NAME?</v>
      </c>
      <c r="CM132" s="4" t="e">
        <f t="shared" si="100"/>
        <v>#NAME?</v>
      </c>
      <c r="CN132" s="4" t="e">
        <f t="shared" si="101"/>
        <v>#NAME?</v>
      </c>
      <c r="CO132" s="1"/>
      <c r="CP132" s="1" t="b">
        <f t="shared" si="102"/>
        <v>1</v>
      </c>
      <c r="CQ132" s="4">
        <f t="shared" si="103"/>
        <v>0</v>
      </c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</row>
    <row r="133" spans="83:122" x14ac:dyDescent="0.25">
      <c r="CE133" s="1"/>
      <c r="CF133" s="1" t="s">
        <v>278</v>
      </c>
      <c r="CG133" s="1" t="s">
        <v>262</v>
      </c>
      <c r="CH133" s="1" t="s">
        <v>262</v>
      </c>
      <c r="CI133" s="1" t="e">
        <f>[2]!'#KCN5'</f>
        <v>#NAME?</v>
      </c>
      <c r="CJ133" s="1" t="e">
        <f>[3]!'#KCN5'</f>
        <v>#NAME?</v>
      </c>
      <c r="CK133" s="1" t="e">
        <f>[4]!'#KCN5'</f>
        <v>#NAME?</v>
      </c>
      <c r="CL133" s="1" t="e">
        <f>[5]!'#KCN5'</f>
        <v>#NAME?</v>
      </c>
      <c r="CM133" s="4" t="e">
        <f t="shared" si="100"/>
        <v>#NAME?</v>
      </c>
      <c r="CN133" s="4" t="e">
        <f t="shared" si="101"/>
        <v>#NAME?</v>
      </c>
      <c r="CO133" s="1"/>
      <c r="CP133" s="1" t="b">
        <f t="shared" si="102"/>
        <v>1</v>
      </c>
      <c r="CQ133" s="4">
        <f t="shared" si="103"/>
        <v>0</v>
      </c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</row>
    <row r="134" spans="83:122" x14ac:dyDescent="0.25">
      <c r="CE134" s="1"/>
      <c r="CF134" s="1" t="s">
        <v>279</v>
      </c>
      <c r="CG134" s="1" t="s">
        <v>264</v>
      </c>
      <c r="CH134" s="1" t="s">
        <v>264</v>
      </c>
      <c r="CI134" s="1" t="e">
        <f>[2]!'#KCK5'</f>
        <v>#NAME?</v>
      </c>
      <c r="CJ134" s="1" t="e">
        <f>[3]!'#KCK5'</f>
        <v>#NAME?</v>
      </c>
      <c r="CK134" s="1" t="e">
        <f>[4]!'#KCK5'</f>
        <v>#NAME?</v>
      </c>
      <c r="CL134" s="1" t="e">
        <f>[5]!'#KCK5'</f>
        <v>#NAME?</v>
      </c>
      <c r="CM134" s="4" t="e">
        <f t="shared" si="100"/>
        <v>#NAME?</v>
      </c>
      <c r="CN134" s="4" t="e">
        <f t="shared" si="101"/>
        <v>#NAME?</v>
      </c>
      <c r="CO134" s="1"/>
      <c r="CP134" s="1" t="b">
        <f t="shared" si="102"/>
        <v>1</v>
      </c>
      <c r="CQ134" s="4">
        <f t="shared" si="103"/>
        <v>0</v>
      </c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</row>
    <row r="135" spans="83:122" x14ac:dyDescent="0.25">
      <c r="CE135" s="1"/>
      <c r="CF135" s="1" t="s">
        <v>280</v>
      </c>
      <c r="CG135" s="1" t="s">
        <v>266</v>
      </c>
      <c r="CH135" s="1" t="s">
        <v>266</v>
      </c>
      <c r="CI135" s="1" t="e">
        <f>[2]!'#SBN5'</f>
        <v>#NAME?</v>
      </c>
      <c r="CJ135" s="1" t="e">
        <f>[3]!'#SBN5'</f>
        <v>#NAME?</v>
      </c>
      <c r="CK135" s="1" t="e">
        <f>[4]!'#SBN5'</f>
        <v>#NAME?</v>
      </c>
      <c r="CL135" s="1" t="e">
        <f>[5]!'#SBN5'</f>
        <v>#NAME?</v>
      </c>
      <c r="CM135" s="4" t="e">
        <f t="shared" si="100"/>
        <v>#NAME?</v>
      </c>
      <c r="CN135" s="4" t="e">
        <f t="shared" si="101"/>
        <v>#NAME?</v>
      </c>
      <c r="CO135" s="1"/>
      <c r="CP135" s="1" t="b">
        <f t="shared" si="102"/>
        <v>1</v>
      </c>
      <c r="CQ135" s="4">
        <f t="shared" si="103"/>
        <v>0</v>
      </c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</row>
    <row r="136" spans="83:122" x14ac:dyDescent="0.25">
      <c r="CE136" s="1"/>
      <c r="CF136" s="1" t="s">
        <v>281</v>
      </c>
      <c r="CG136" s="1" t="s">
        <v>268</v>
      </c>
      <c r="CH136" s="1" t="s">
        <v>268</v>
      </c>
      <c r="CI136" s="1" t="e">
        <f>[2]!'#SBK5'</f>
        <v>#NAME?</v>
      </c>
      <c r="CJ136" s="1" t="e">
        <f>[3]!'#SBK5'</f>
        <v>#NAME?</v>
      </c>
      <c r="CK136" s="1" t="e">
        <f>[4]!'#SBK5'</f>
        <v>#NAME?</v>
      </c>
      <c r="CL136" s="1" t="e">
        <f>[5]!'#SBK5'</f>
        <v>#NAME?</v>
      </c>
      <c r="CM136" s="4" t="e">
        <f t="shared" si="100"/>
        <v>#NAME?</v>
      </c>
      <c r="CN136" s="4" t="e">
        <f t="shared" si="101"/>
        <v>#NAME?</v>
      </c>
      <c r="CO136" s="4"/>
      <c r="CP136" s="1" t="b">
        <f t="shared" si="102"/>
        <v>1</v>
      </c>
      <c r="CQ136" s="4">
        <f t="shared" si="103"/>
        <v>0</v>
      </c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</row>
    <row r="137" spans="83:122" x14ac:dyDescent="0.25"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4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</row>
    <row r="138" spans="83:122" x14ac:dyDescent="0.25"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4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</row>
    <row r="139" spans="83:122" x14ac:dyDescent="0.25">
      <c r="CE139" s="1"/>
      <c r="CF139" s="1"/>
      <c r="CG139" s="1"/>
      <c r="CH139" s="1"/>
      <c r="CI139" s="1"/>
      <c r="CJ139" s="1"/>
      <c r="CK139" s="1"/>
      <c r="CL139" s="1"/>
      <c r="CM139" s="4"/>
      <c r="CN139" s="4"/>
      <c r="CO139" s="1"/>
      <c r="CP139" s="1"/>
      <c r="CQ139" s="4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</row>
    <row r="140" spans="83:122" x14ac:dyDescent="0.25">
      <c r="CE140" s="1"/>
      <c r="CF140" s="1"/>
      <c r="CG140" s="1"/>
      <c r="CH140" s="1"/>
      <c r="CI140" s="1"/>
      <c r="CJ140" s="1"/>
      <c r="CK140" s="1"/>
      <c r="CL140" s="1"/>
      <c r="CM140" s="4"/>
      <c r="CN140" s="4"/>
      <c r="CO140" s="1"/>
      <c r="CP140" s="1"/>
      <c r="CQ140" s="4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</row>
    <row r="141" spans="83:122" x14ac:dyDescent="0.25">
      <c r="CE141" s="1"/>
      <c r="CF141" s="1"/>
      <c r="CG141" s="1"/>
      <c r="CH141" s="1"/>
      <c r="CI141" s="1"/>
      <c r="CJ141" s="1"/>
      <c r="CK141" s="1"/>
      <c r="CL141" s="1"/>
      <c r="CM141" s="4"/>
      <c r="CN141" s="4"/>
      <c r="CO141" s="1"/>
      <c r="CP141" s="1"/>
      <c r="CQ141" s="4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</row>
    <row r="142" spans="83:122" x14ac:dyDescent="0.25">
      <c r="CE142" s="1"/>
      <c r="CF142" s="1"/>
      <c r="CG142" s="1"/>
      <c r="CH142" s="1"/>
      <c r="CI142" s="1"/>
      <c r="CJ142" s="1"/>
      <c r="CK142" s="1"/>
      <c r="CL142" s="1"/>
      <c r="CM142" s="4"/>
      <c r="CN142" s="4"/>
      <c r="CO142" s="4"/>
      <c r="CP142" s="1"/>
      <c r="CQ142" s="4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</row>
    <row r="143" spans="83:122" x14ac:dyDescent="0.25"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4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</row>
    <row r="144" spans="83:122" x14ac:dyDescent="0.25">
      <c r="CE144" s="1"/>
      <c r="CF144" s="1" t="s">
        <v>282</v>
      </c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4"/>
      <c r="CR144" s="1"/>
      <c r="CS144" s="1"/>
      <c r="CT144" s="1" t="str">
        <f t="shared" ref="CT144:CT150" si="104">CF146</f>
        <v>Euro-bund, German Government</v>
      </c>
      <c r="CU144" s="4">
        <f t="shared" ref="CU144:CU150" si="105">CQ146</f>
        <v>0</v>
      </c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</row>
    <row r="145" spans="83:122" x14ac:dyDescent="0.25">
      <c r="CE145" s="1"/>
      <c r="CF145" s="1" t="s">
        <v>283</v>
      </c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4"/>
      <c r="CR145" s="1"/>
      <c r="CS145" s="1"/>
      <c r="CT145" s="1" t="str">
        <f t="shared" si="104"/>
        <v>Euro BOBL</v>
      </c>
      <c r="CU145" s="4">
        <f t="shared" si="105"/>
        <v>0</v>
      </c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</row>
    <row r="146" spans="83:122" x14ac:dyDescent="0.25">
      <c r="CE146" s="1"/>
      <c r="CF146" s="1" t="s">
        <v>284</v>
      </c>
      <c r="CG146" s="1" t="s">
        <v>285</v>
      </c>
      <c r="CH146" s="1"/>
      <c r="CI146" s="1"/>
      <c r="CJ146" s="1"/>
      <c r="CK146" s="1"/>
      <c r="CL146" s="1"/>
      <c r="CM146" s="4" t="e">
        <f t="shared" ref="CM146:CM152" si="106">(100*(CK146-CJ146)/(CI146-CJ146))/100</f>
        <v>#DIV/0!</v>
      </c>
      <c r="CN146" s="4" t="e">
        <f t="shared" ref="CN146:CN152" si="107">(CI146-CL146)/(CI146-CJ146)</f>
        <v>#DIV/0!</v>
      </c>
      <c r="CO146" s="1"/>
      <c r="CP146" s="1" t="b">
        <f t="shared" ref="CP146:CP152" si="108">ISERR(CM146)</f>
        <v>1</v>
      </c>
      <c r="CQ146" s="4">
        <f t="shared" ref="CQ146:CQ151" si="109">IF(CP146=FALSE,CM146,0%)</f>
        <v>0</v>
      </c>
      <c r="CR146" s="1"/>
      <c r="CS146" s="1"/>
      <c r="CT146" s="1" t="str">
        <f t="shared" si="104"/>
        <v>Euro Schatz</v>
      </c>
      <c r="CU146" s="4">
        <f t="shared" si="105"/>
        <v>0</v>
      </c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</row>
    <row r="147" spans="83:122" x14ac:dyDescent="0.25">
      <c r="CE147" s="1"/>
      <c r="CF147" s="1" t="s">
        <v>286</v>
      </c>
      <c r="CG147" s="1" t="s">
        <v>287</v>
      </c>
      <c r="CH147" s="1"/>
      <c r="CI147" s="1"/>
      <c r="CJ147" s="1"/>
      <c r="CK147" s="1"/>
      <c r="CL147" s="1"/>
      <c r="CM147" s="4" t="e">
        <f t="shared" si="106"/>
        <v>#DIV/0!</v>
      </c>
      <c r="CN147" s="4" t="e">
        <f t="shared" si="107"/>
        <v>#DIV/0!</v>
      </c>
      <c r="CO147" s="1"/>
      <c r="CP147" s="1" t="b">
        <f t="shared" si="108"/>
        <v>1</v>
      </c>
      <c r="CQ147" s="4">
        <f t="shared" si="109"/>
        <v>0</v>
      </c>
      <c r="CR147" s="1"/>
      <c r="CS147" s="1"/>
      <c r="CT147" s="1" t="str">
        <f t="shared" si="104"/>
        <v>Eurodollar</v>
      </c>
      <c r="CU147" s="4">
        <f t="shared" si="105"/>
        <v>0</v>
      </c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</row>
    <row r="148" spans="83:122" x14ac:dyDescent="0.25">
      <c r="CE148" s="1"/>
      <c r="CF148" s="1" t="s">
        <v>288</v>
      </c>
      <c r="CG148" s="1" t="s">
        <v>289</v>
      </c>
      <c r="CH148" s="1"/>
      <c r="CI148" s="1"/>
      <c r="CJ148" s="1"/>
      <c r="CK148" s="1"/>
      <c r="CL148" s="1"/>
      <c r="CM148" s="4" t="e">
        <f t="shared" si="106"/>
        <v>#DIV/0!</v>
      </c>
      <c r="CN148" s="4" t="e">
        <f t="shared" si="107"/>
        <v>#DIV/0!</v>
      </c>
      <c r="CO148" s="1"/>
      <c r="CP148" s="1" t="b">
        <f t="shared" si="108"/>
        <v>1</v>
      </c>
      <c r="CQ148" s="4">
        <f t="shared" si="109"/>
        <v>0</v>
      </c>
      <c r="CR148" s="1"/>
      <c r="CS148" s="1"/>
      <c r="CT148" s="1" t="str">
        <f t="shared" si="104"/>
        <v>Gilt Long</v>
      </c>
      <c r="CU148" s="4">
        <f t="shared" si="105"/>
        <v>0</v>
      </c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</row>
    <row r="149" spans="83:122" x14ac:dyDescent="0.25">
      <c r="CE149" s="1"/>
      <c r="CF149" s="1" t="s">
        <v>290</v>
      </c>
      <c r="CG149" s="1" t="s">
        <v>291</v>
      </c>
      <c r="CH149" s="1"/>
      <c r="CI149" s="1"/>
      <c r="CJ149" s="1"/>
      <c r="CK149" s="1"/>
      <c r="CL149" s="1"/>
      <c r="CM149" s="4" t="e">
        <f t="shared" si="106"/>
        <v>#DIV/0!</v>
      </c>
      <c r="CN149" s="4" t="e">
        <f t="shared" si="107"/>
        <v>#DIV/0!</v>
      </c>
      <c r="CO149" s="1"/>
      <c r="CP149" s="1" t="b">
        <f t="shared" si="108"/>
        <v>1</v>
      </c>
      <c r="CQ149" s="4">
        <f t="shared" si="109"/>
        <v>0</v>
      </c>
      <c r="CR149" s="1"/>
      <c r="CS149" s="1"/>
      <c r="CT149" s="1" t="str">
        <f t="shared" si="104"/>
        <v>30-year US T-Bond</v>
      </c>
      <c r="CU149" s="4">
        <f t="shared" si="105"/>
        <v>0</v>
      </c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</row>
    <row r="150" spans="83:122" x14ac:dyDescent="0.25">
      <c r="CE150" s="1"/>
      <c r="CF150" s="1" t="s">
        <v>292</v>
      </c>
      <c r="CG150" s="1" t="s">
        <v>293</v>
      </c>
      <c r="CH150" s="1"/>
      <c r="CI150" s="1"/>
      <c r="CJ150" s="1"/>
      <c r="CK150" s="1"/>
      <c r="CL150" s="1"/>
      <c r="CM150" s="4" t="e">
        <f t="shared" si="106"/>
        <v>#DIV/0!</v>
      </c>
      <c r="CN150" s="4" t="e">
        <f t="shared" si="107"/>
        <v>#DIV/0!</v>
      </c>
      <c r="CO150" s="1"/>
      <c r="CP150" s="1" t="b">
        <f t="shared" si="108"/>
        <v>1</v>
      </c>
      <c r="CQ150" s="4">
        <f t="shared" si="109"/>
        <v>0</v>
      </c>
      <c r="CR150" s="1"/>
      <c r="CS150" s="1"/>
      <c r="CT150" s="1" t="str">
        <f t="shared" si="104"/>
        <v>10 Year US T-Notes Composite</v>
      </c>
      <c r="CU150" s="4">
        <f t="shared" si="105"/>
        <v>0</v>
      </c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</row>
    <row r="151" spans="83:122" x14ac:dyDescent="0.25">
      <c r="CE151" s="1"/>
      <c r="CF151" s="1" t="s">
        <v>294</v>
      </c>
      <c r="CG151" s="1" t="s">
        <v>295</v>
      </c>
      <c r="CH151" s="1"/>
      <c r="CI151" s="1"/>
      <c r="CJ151" s="1"/>
      <c r="CK151" s="1"/>
      <c r="CL151" s="1"/>
      <c r="CM151" s="4" t="e">
        <f t="shared" si="106"/>
        <v>#DIV/0!</v>
      </c>
      <c r="CN151" s="4" t="e">
        <f t="shared" si="107"/>
        <v>#DIV/0!</v>
      </c>
      <c r="CO151" s="1"/>
      <c r="CP151" s="1" t="b">
        <f t="shared" si="108"/>
        <v>1</v>
      </c>
      <c r="CQ151" s="4">
        <f t="shared" si="109"/>
        <v>0</v>
      </c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</row>
    <row r="152" spans="83:122" x14ac:dyDescent="0.25">
      <c r="CE152" s="1"/>
      <c r="CF152" s="1" t="s">
        <v>296</v>
      </c>
      <c r="CG152" s="1" t="s">
        <v>297</v>
      </c>
      <c r="CH152" s="1"/>
      <c r="CI152" s="1"/>
      <c r="CJ152" s="1"/>
      <c r="CK152" s="1"/>
      <c r="CL152" s="1"/>
      <c r="CM152" s="4" t="e">
        <f t="shared" si="106"/>
        <v>#DIV/0!</v>
      </c>
      <c r="CN152" s="4" t="e">
        <f t="shared" si="107"/>
        <v>#DIV/0!</v>
      </c>
      <c r="CO152" s="1"/>
      <c r="CP152" s="1" t="b">
        <f t="shared" si="108"/>
        <v>1</v>
      </c>
      <c r="CQ152" s="4">
        <f>IF(CP152=FALSE,CM152,0%)</f>
        <v>0</v>
      </c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</row>
    <row r="153" spans="83:122" x14ac:dyDescent="0.25"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</row>
    <row r="154" spans="83:122" x14ac:dyDescent="0.25">
      <c r="CE154" s="1"/>
      <c r="CF154" s="1" t="s">
        <v>298</v>
      </c>
      <c r="CG154" s="1" t="s">
        <v>299</v>
      </c>
      <c r="CH154" s="1" t="s">
        <v>300</v>
      </c>
      <c r="CI154" s="1"/>
      <c r="CJ154" s="1"/>
      <c r="CK154" s="1"/>
      <c r="CL154" s="1"/>
      <c r="CM154" s="4" t="e">
        <f>(100*(CK154-CJ154)/(CI154-CJ154))/100</f>
        <v>#DIV/0!</v>
      </c>
      <c r="CN154" s="4" t="e">
        <f>(CI154-CL154)/(CI154-CJ154)</f>
        <v>#DIV/0!</v>
      </c>
      <c r="CO154" s="1"/>
      <c r="CP154" s="1" t="b">
        <f>ISERR(CM154)</f>
        <v>1</v>
      </c>
      <c r="CQ154" s="4">
        <f>IF(CP154=FALSE,CM154,0%)</f>
        <v>0</v>
      </c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</row>
    <row r="155" spans="83:122" x14ac:dyDescent="0.25">
      <c r="CE155" s="1"/>
      <c r="CF155" s="1" t="s">
        <v>301</v>
      </c>
      <c r="CG155" s="1" t="s">
        <v>302</v>
      </c>
      <c r="CH155" s="1" t="s">
        <v>303</v>
      </c>
      <c r="CI155" s="1"/>
      <c r="CJ155" s="1"/>
      <c r="CK155" s="1"/>
      <c r="CL155" s="1"/>
      <c r="CM155" s="4" t="e">
        <f>(100*(CK155-CJ155)/(CI155-CJ155))/100</f>
        <v>#DIV/0!</v>
      </c>
      <c r="CN155" s="4" t="e">
        <f>(CI155-CL155)/(CI155-CJ155)</f>
        <v>#DIV/0!</v>
      </c>
      <c r="CO155" s="1"/>
      <c r="CP155" s="1" t="b">
        <f>ISERR(CM155)</f>
        <v>1</v>
      </c>
      <c r="CQ155" s="4">
        <f>IF(CP155=FALSE,CM155,0%)</f>
        <v>0</v>
      </c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</row>
    <row r="156" spans="83:122" x14ac:dyDescent="0.25">
      <c r="CE156" s="1"/>
      <c r="CF156" s="1" t="s">
        <v>304</v>
      </c>
      <c r="CG156" s="1" t="s">
        <v>305</v>
      </c>
      <c r="CH156" s="1"/>
      <c r="CI156" s="1"/>
      <c r="CJ156" s="1"/>
      <c r="CK156" s="1"/>
      <c r="CL156" s="1"/>
      <c r="CM156" s="4" t="e">
        <f>(100*(CK156-CJ156)/(CI156-CJ156))/100</f>
        <v>#DIV/0!</v>
      </c>
      <c r="CN156" s="4" t="e">
        <f>(CI156-CL156)/(CI156-CJ156)</f>
        <v>#DIV/0!</v>
      </c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</row>
    <row r="157" spans="83:122" x14ac:dyDescent="0.25"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</row>
    <row r="158" spans="83:122" x14ac:dyDescent="0.25"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 t="s">
        <v>306</v>
      </c>
      <c r="CR158" s="4">
        <f>$BX$96</f>
        <v>0</v>
      </c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</row>
    <row r="159" spans="83:122" x14ac:dyDescent="0.25">
      <c r="CE159" s="1"/>
      <c r="CF159" s="1"/>
      <c r="CG159" s="1"/>
      <c r="CH159" s="1" t="s">
        <v>307</v>
      </c>
      <c r="CI159" s="1"/>
      <c r="CJ159" s="1" t="s">
        <v>11</v>
      </c>
      <c r="CK159" s="1" t="e">
        <f>DF26</f>
        <v>#REF!</v>
      </c>
      <c r="CL159" s="1" t="s">
        <v>33</v>
      </c>
      <c r="CM159" s="1" t="e">
        <f>DF48</f>
        <v>#REF!</v>
      </c>
      <c r="CN159" s="1" t="s">
        <v>12</v>
      </c>
      <c r="CO159" s="1" t="e">
        <f>DF27</f>
        <v>#REF!</v>
      </c>
      <c r="CP159" s="1"/>
      <c r="CQ159" s="1" t="s">
        <v>308</v>
      </c>
      <c r="CR159" s="4">
        <f>$BX$79</f>
        <v>0</v>
      </c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</row>
    <row r="160" spans="83:122" x14ac:dyDescent="0.25">
      <c r="CE160" s="1"/>
      <c r="CF160" s="1"/>
      <c r="CG160" s="1"/>
      <c r="CH160" s="1" t="s">
        <v>309</v>
      </c>
      <c r="CI160" s="1"/>
      <c r="CJ160" s="1" t="s">
        <v>17</v>
      </c>
      <c r="CK160" s="1" t="e">
        <f>DF32</f>
        <v>#REF!</v>
      </c>
      <c r="CL160" s="1" t="s">
        <v>33</v>
      </c>
      <c r="CM160" s="1" t="e">
        <f>#REF!</f>
        <v>#REF!</v>
      </c>
      <c r="CN160" s="1" t="s">
        <v>18</v>
      </c>
      <c r="CO160" s="1" t="e">
        <f>DF33</f>
        <v>#REF!</v>
      </c>
      <c r="CP160" s="1"/>
      <c r="CQ160" s="1" t="s">
        <v>300</v>
      </c>
      <c r="CR160" s="4">
        <f>CQ154</f>
        <v>0</v>
      </c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</row>
    <row r="161" spans="83:122" x14ac:dyDescent="0.25">
      <c r="CE161" s="1"/>
      <c r="CF161" s="1"/>
      <c r="CG161" s="1"/>
      <c r="CH161" s="1"/>
      <c r="CI161" s="1"/>
      <c r="CJ161" s="1" t="s">
        <v>22</v>
      </c>
      <c r="CK161" s="1" t="e">
        <f>DF37</f>
        <v>#REF!</v>
      </c>
      <c r="CL161" s="1" t="s">
        <v>33</v>
      </c>
      <c r="CM161" s="1" t="e">
        <f>#REF!</f>
        <v>#REF!</v>
      </c>
      <c r="CN161" s="1" t="s">
        <v>23</v>
      </c>
      <c r="CO161" s="1" t="e">
        <f>DF38</f>
        <v>#REF!</v>
      </c>
      <c r="CP161" s="1"/>
      <c r="CQ161" s="1" t="s">
        <v>303</v>
      </c>
      <c r="CR161" s="4">
        <f>CQ155</f>
        <v>0</v>
      </c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</row>
    <row r="162" spans="83:122" x14ac:dyDescent="0.25">
      <c r="CE162" s="1"/>
      <c r="CF162" s="1"/>
      <c r="CG162" s="1"/>
      <c r="CH162" s="1"/>
      <c r="CI162" s="1"/>
      <c r="CJ162" s="1" t="s">
        <v>26</v>
      </c>
      <c r="CK162" s="1" t="e">
        <f>DF41</f>
        <v>#REF!</v>
      </c>
      <c r="CL162" s="1" t="s">
        <v>33</v>
      </c>
      <c r="CM162" s="1" t="e">
        <f>#REF!</f>
        <v>#REF!</v>
      </c>
      <c r="CN162" s="1" t="s">
        <v>27</v>
      </c>
      <c r="CO162" s="1" t="e">
        <f>DF42</f>
        <v>#REF!</v>
      </c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</row>
    <row r="163" spans="83:122" x14ac:dyDescent="0.25">
      <c r="CE163" s="1"/>
      <c r="CF163" s="1"/>
      <c r="CG163" s="1"/>
      <c r="CH163" s="1"/>
      <c r="CI163" s="1"/>
      <c r="CJ163" s="1" t="s">
        <v>17</v>
      </c>
      <c r="CK163" s="1" t="e">
        <f>#REF!</f>
        <v>#REF!</v>
      </c>
      <c r="CL163" s="1" t="s">
        <v>32</v>
      </c>
      <c r="CM163" s="1" t="e">
        <f>#REF!</f>
        <v>#REF!</v>
      </c>
      <c r="CN163" s="1" t="s">
        <v>16</v>
      </c>
      <c r="CO163" s="1" t="e">
        <f>DF31</f>
        <v>#REF!</v>
      </c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</row>
    <row r="164" spans="83:122" x14ac:dyDescent="0.25">
      <c r="CE164" s="1"/>
      <c r="CF164" s="1"/>
      <c r="CG164" s="1"/>
      <c r="CH164" s="1"/>
      <c r="CI164" s="1"/>
      <c r="CJ164" s="1" t="s">
        <v>11</v>
      </c>
      <c r="CK164" s="1" t="e">
        <f>#REF!</f>
        <v>#REF!</v>
      </c>
      <c r="CL164" s="1" t="s">
        <v>32</v>
      </c>
      <c r="CM164" s="1" t="e">
        <f>#REF!</f>
        <v>#REF!</v>
      </c>
      <c r="CN164" s="1" t="s">
        <v>10</v>
      </c>
      <c r="CO164" s="1" t="e">
        <f>DF25</f>
        <v>#REF!</v>
      </c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</row>
    <row r="165" spans="83:122" x14ac:dyDescent="0.25">
      <c r="CE165" s="1"/>
      <c r="CF165" s="1"/>
      <c r="CG165" s="1"/>
      <c r="CH165" s="1"/>
      <c r="CI165" s="1"/>
      <c r="CJ165" s="1" t="s">
        <v>22</v>
      </c>
      <c r="CK165" s="1" t="e">
        <f>#REF!</f>
        <v>#REF!</v>
      </c>
      <c r="CL165" s="1" t="s">
        <v>31</v>
      </c>
      <c r="CM165" s="1" t="e">
        <f>DF46</f>
        <v>#REF!</v>
      </c>
      <c r="CN165" s="1" t="s">
        <v>20</v>
      </c>
      <c r="CO165" s="1" t="e">
        <f>DF35</f>
        <v>#REF!</v>
      </c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</row>
    <row r="166" spans="83:122" x14ac:dyDescent="0.25">
      <c r="CE166" s="1"/>
      <c r="CF166" s="1"/>
      <c r="CG166" s="1"/>
      <c r="CH166" s="1"/>
      <c r="CI166" s="1"/>
      <c r="CJ166" s="1" t="s">
        <v>11</v>
      </c>
      <c r="CK166" s="1" t="e">
        <f>#REF!</f>
        <v>#REF!</v>
      </c>
      <c r="CL166" s="1" t="s">
        <v>31</v>
      </c>
      <c r="CM166" s="1" t="e">
        <f>#REF!</f>
        <v>#REF!</v>
      </c>
      <c r="CN166" s="1" t="s">
        <v>9</v>
      </c>
      <c r="CO166" s="1" t="e">
        <f>DF24</f>
        <v>#REF!</v>
      </c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</row>
    <row r="167" spans="83:122" x14ac:dyDescent="0.25"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</row>
    <row r="168" spans="83:122" x14ac:dyDescent="0.25">
      <c r="CE168" s="1"/>
      <c r="CF168" s="1"/>
      <c r="CG168" s="1"/>
      <c r="CH168" s="1" t="s">
        <v>310</v>
      </c>
      <c r="CI168" s="1"/>
      <c r="CJ168" s="1" t="s">
        <v>11</v>
      </c>
      <c r="CK168" s="1" t="e">
        <f>#REF!</f>
        <v>#REF!</v>
      </c>
      <c r="CL168" s="1" t="s">
        <v>22</v>
      </c>
      <c r="CM168" s="1" t="e">
        <f>#REF!</f>
        <v>#REF!</v>
      </c>
      <c r="CN168" s="1" t="s">
        <v>7</v>
      </c>
      <c r="CO168" s="1" t="e">
        <f>DF22</f>
        <v>#REF!</v>
      </c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</row>
    <row r="169" spans="83:122" x14ac:dyDescent="0.25">
      <c r="CE169" s="1"/>
      <c r="CF169" s="1"/>
      <c r="CG169" s="1"/>
      <c r="CH169" s="1" t="s">
        <v>311</v>
      </c>
      <c r="CI169" s="1"/>
      <c r="CJ169" s="1" t="s">
        <v>22</v>
      </c>
      <c r="CK169" s="1" t="e">
        <f>#REF!</f>
        <v>#REF!</v>
      </c>
      <c r="CL169" s="1" t="s">
        <v>26</v>
      </c>
      <c r="CM169" s="1" t="e">
        <f>#REF!</f>
        <v>#REF!</v>
      </c>
      <c r="CN169" s="1" t="s">
        <v>19</v>
      </c>
      <c r="CO169" s="1" t="e">
        <f>DF34</f>
        <v>#REF!</v>
      </c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</row>
    <row r="170" spans="83:122" x14ac:dyDescent="0.25">
      <c r="CE170" s="1"/>
      <c r="CF170" s="1"/>
      <c r="CG170" s="1"/>
      <c r="CH170" s="1"/>
      <c r="CI170" s="1"/>
      <c r="CJ170" s="1" t="s">
        <v>11</v>
      </c>
      <c r="CK170" s="1" t="e">
        <f>#REF!</f>
        <v>#REF!</v>
      </c>
      <c r="CL170" s="1" t="s">
        <v>17</v>
      </c>
      <c r="CM170" s="1" t="e">
        <f>#REF!</f>
        <v>#REF!</v>
      </c>
      <c r="CN170" s="1" t="s">
        <v>6</v>
      </c>
      <c r="CO170" s="1" t="e">
        <f>DF21</f>
        <v>#REF!</v>
      </c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</row>
    <row r="171" spans="83:122" x14ac:dyDescent="0.25"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</row>
    <row r="172" spans="83:122" x14ac:dyDescent="0.25">
      <c r="CE172" s="1"/>
      <c r="CF172" s="1"/>
      <c r="CG172" s="1"/>
      <c r="CH172" s="1" t="s">
        <v>312</v>
      </c>
      <c r="CI172" s="1"/>
      <c r="CJ172" s="1" t="s">
        <v>32</v>
      </c>
      <c r="CK172" s="1" t="e">
        <f>DF47</f>
        <v>#REF!</v>
      </c>
      <c r="CL172" s="1" t="s">
        <v>33</v>
      </c>
      <c r="CM172" s="1" t="e">
        <f>#REF!</f>
        <v>#REF!</v>
      </c>
      <c r="CN172" s="1" t="s">
        <v>30</v>
      </c>
      <c r="CO172" s="1" t="e">
        <f>DF45</f>
        <v>#REF!</v>
      </c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</row>
    <row r="173" spans="83:122" x14ac:dyDescent="0.25">
      <c r="CE173" s="1"/>
      <c r="CF173" s="1"/>
      <c r="CG173" s="1"/>
      <c r="CH173" s="1" t="s">
        <v>313</v>
      </c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</row>
    <row r="174" spans="83:122" x14ac:dyDescent="0.25"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</row>
    <row r="175" spans="83:122" x14ac:dyDescent="0.25"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</row>
    <row r="176" spans="83:122" x14ac:dyDescent="0.25"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</row>
    <row r="177" spans="83:122" x14ac:dyDescent="0.25">
      <c r="CE177" s="1"/>
      <c r="CF177" s="1"/>
      <c r="CG177" s="1"/>
      <c r="CH177" s="1" t="s">
        <v>37</v>
      </c>
      <c r="CI177" s="1" t="s">
        <v>38</v>
      </c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</row>
    <row r="178" spans="83:122" x14ac:dyDescent="0.25"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</row>
    <row r="179" spans="83:122" x14ac:dyDescent="0.25">
      <c r="CE179" s="1"/>
      <c r="CF179" s="1"/>
      <c r="CG179" s="1" t="s">
        <v>30</v>
      </c>
      <c r="CH179" s="4">
        <f>CM45</f>
        <v>0.66666666666666985</v>
      </c>
      <c r="CI179" s="4">
        <f>CN45</f>
        <v>0.19202163624070737</v>
      </c>
      <c r="CJ179" s="1"/>
      <c r="CK179" s="1"/>
      <c r="CL179" s="1"/>
      <c r="CM179" s="4"/>
      <c r="CN179" s="4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</row>
    <row r="180" spans="83:122" x14ac:dyDescent="0.25">
      <c r="CE180" s="1"/>
      <c r="CF180" s="1"/>
      <c r="CG180" s="1" t="s">
        <v>29</v>
      </c>
      <c r="CH180" s="4">
        <f>CM44</f>
        <v>0.81111741349971633</v>
      </c>
      <c r="CI180" s="4">
        <f>CN44</f>
        <v>0.12932501418037187</v>
      </c>
      <c r="CJ180" s="1"/>
      <c r="CK180" s="1"/>
      <c r="CL180" s="1"/>
      <c r="CM180" s="4"/>
      <c r="CN180" s="4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</row>
    <row r="181" spans="83:122" x14ac:dyDescent="0.25">
      <c r="CE181" s="1"/>
      <c r="CF181" s="1"/>
      <c r="CG181" s="1" t="s">
        <v>27</v>
      </c>
      <c r="CH181" s="4">
        <f>CM42</f>
        <v>0.32871720116617598</v>
      </c>
      <c r="CI181" s="4">
        <f>CN42</f>
        <v>0.54081632653061551</v>
      </c>
      <c r="CJ181" s="1"/>
      <c r="CK181" s="1"/>
      <c r="CL181" s="1"/>
      <c r="CM181" s="4"/>
      <c r="CN181" s="4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</row>
    <row r="182" spans="83:122" x14ac:dyDescent="0.25">
      <c r="CE182" s="1"/>
      <c r="CF182" s="1"/>
      <c r="CG182" s="1" t="s">
        <v>23</v>
      </c>
      <c r="CH182" s="4">
        <f>CM38</f>
        <v>0.80087527352297805</v>
      </c>
      <c r="CI182" s="4">
        <f>CN38</f>
        <v>6.6374908825670528E-2</v>
      </c>
      <c r="CJ182" s="1"/>
      <c r="CK182" s="1"/>
      <c r="CL182" s="1"/>
      <c r="CM182" s="4"/>
      <c r="CN182" s="4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</row>
    <row r="183" spans="83:122" x14ac:dyDescent="0.25">
      <c r="CE183" s="1"/>
      <c r="CF183" s="1"/>
      <c r="CG183" s="1" t="s">
        <v>18</v>
      </c>
      <c r="CH183" s="4">
        <f>CM33</f>
        <v>0.7866407263294467</v>
      </c>
      <c r="CI183" s="4">
        <f>CN33</f>
        <v>0.13618677042801136</v>
      </c>
      <c r="CJ183" s="1"/>
      <c r="CK183" s="1"/>
      <c r="CL183" s="1"/>
      <c r="CM183" s="4"/>
      <c r="CN183" s="4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</row>
    <row r="184" spans="83:122" x14ac:dyDescent="0.25">
      <c r="CE184" s="1"/>
      <c r="CF184" s="1"/>
      <c r="CG184" s="1" t="s">
        <v>12</v>
      </c>
      <c r="CH184" s="4">
        <f>CM27</f>
        <v>0.78655199374511575</v>
      </c>
      <c r="CI184" s="4">
        <f>CN27</f>
        <v>8.2095387021102473E-2</v>
      </c>
      <c r="CJ184" s="1"/>
      <c r="CK184" s="1"/>
      <c r="CL184" s="1"/>
      <c r="CM184" s="4"/>
      <c r="CN184" s="4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</row>
    <row r="185" spans="83:122" x14ac:dyDescent="0.25">
      <c r="CE185" s="1"/>
      <c r="CF185" s="1"/>
      <c r="CG185" s="1" t="s">
        <v>33</v>
      </c>
      <c r="CH185" s="4">
        <f>CM48</f>
        <v>0.82093517534537597</v>
      </c>
      <c r="CI185" s="4">
        <f>CN48</f>
        <v>0.13443145589798058</v>
      </c>
      <c r="CJ185" s="1"/>
      <c r="CK185" s="4"/>
      <c r="CL185" s="1"/>
      <c r="CM185" s="4"/>
      <c r="CN185" s="4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</row>
    <row r="186" spans="83:122" x14ac:dyDescent="0.25">
      <c r="CE186" s="1"/>
      <c r="CF186" s="1"/>
      <c r="CG186" s="1" t="s">
        <v>32</v>
      </c>
      <c r="CH186" s="4">
        <f>CM47</f>
        <v>0.66492829204693915</v>
      </c>
      <c r="CI186" s="4">
        <f>CN47</f>
        <v>0.18383311603649538</v>
      </c>
      <c r="CJ186" s="1"/>
      <c r="CK186" s="4"/>
      <c r="CL186" s="1"/>
      <c r="CM186" s="4"/>
      <c r="CN186" s="4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</row>
    <row r="187" spans="83:122" x14ac:dyDescent="0.25">
      <c r="CE187" s="1"/>
      <c r="CF187" s="1"/>
      <c r="CG187" s="1" t="s">
        <v>31</v>
      </c>
      <c r="CH187" s="4">
        <f>CM46</f>
        <v>0.21973684210526961</v>
      </c>
      <c r="CI187" s="4">
        <f>CN46</f>
        <v>0.70986842105263193</v>
      </c>
      <c r="CJ187" s="1"/>
      <c r="CK187" s="4"/>
      <c r="CL187" s="1"/>
      <c r="CM187" s="4"/>
      <c r="CN187" s="4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</row>
    <row r="188" spans="83:122" x14ac:dyDescent="0.25">
      <c r="CE188" s="1"/>
      <c r="CF188" s="1"/>
      <c r="CG188" s="1" t="s">
        <v>26</v>
      </c>
      <c r="CH188" s="4">
        <f>CM41</f>
        <v>7.460317460317839E-2</v>
      </c>
      <c r="CI188" s="4">
        <f>CN41</f>
        <v>0.83492063492063795</v>
      </c>
      <c r="CJ188" s="1"/>
      <c r="CK188" s="4"/>
      <c r="CL188" s="1"/>
      <c r="CM188" s="4"/>
      <c r="CN188" s="4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</row>
    <row r="189" spans="83:122" x14ac:dyDescent="0.25">
      <c r="CE189" s="1"/>
      <c r="CF189" s="1"/>
      <c r="CG189" s="1" t="s">
        <v>22</v>
      </c>
      <c r="CH189" s="4">
        <f>CM37</f>
        <v>0.59814528593507632</v>
      </c>
      <c r="CI189" s="4">
        <f>CN37</f>
        <v>0.25193199381762388</v>
      </c>
      <c r="CJ189" s="1"/>
      <c r="CK189" s="4"/>
      <c r="CL189" s="1"/>
      <c r="CM189" s="4"/>
      <c r="CN189" s="4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</row>
    <row r="190" spans="83:122" x14ac:dyDescent="0.25">
      <c r="CE190" s="1"/>
      <c r="CF190" s="1"/>
      <c r="CG190" s="1" t="s">
        <v>17</v>
      </c>
      <c r="CH190" s="4">
        <f>CM32</f>
        <v>0.39465408805031438</v>
      </c>
      <c r="CI190" s="4">
        <f>(CI32-CL32)/(CI32-CJ32)</f>
        <v>0.44575471698113484</v>
      </c>
      <c r="CJ190" s="1"/>
      <c r="CK190" s="1"/>
      <c r="CL190" s="1"/>
      <c r="CM190" s="4"/>
      <c r="CN190" s="4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</row>
    <row r="191" spans="83:122" x14ac:dyDescent="0.25">
      <c r="CE191" s="1"/>
      <c r="CF191" s="1"/>
      <c r="CG191" s="1" t="s">
        <v>11</v>
      </c>
      <c r="CH191" s="4">
        <f>CM26</f>
        <v>0.3266499582289113</v>
      </c>
      <c r="CI191" s="4">
        <f>CN26</f>
        <v>0.6365914786967366</v>
      </c>
      <c r="CJ191" s="1"/>
      <c r="CK191" s="4"/>
      <c r="CL191" s="1"/>
      <c r="CM191" s="4"/>
      <c r="CN191" s="4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</row>
    <row r="192" spans="83:122" x14ac:dyDescent="0.25">
      <c r="CE192" s="1"/>
      <c r="CF192" s="1"/>
      <c r="CG192" s="1"/>
      <c r="CH192" s="4"/>
      <c r="CI192" s="4"/>
      <c r="CJ192" s="1"/>
      <c r="CK192" s="4"/>
      <c r="CL192" s="1"/>
      <c r="CM192" s="4"/>
      <c r="CN192" s="4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</row>
    <row r="193" spans="83:122" x14ac:dyDescent="0.25">
      <c r="CE193" s="1"/>
      <c r="CF193" s="1"/>
      <c r="CG193" s="1"/>
      <c r="CH193" s="4"/>
      <c r="CI193" s="4"/>
      <c r="CJ193" s="1"/>
      <c r="CK193" s="4"/>
      <c r="CL193" s="1"/>
      <c r="CM193" s="4"/>
      <c r="CN193" s="4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</row>
    <row r="194" spans="83:122" x14ac:dyDescent="0.25">
      <c r="CE194" s="1"/>
      <c r="CF194" s="1"/>
      <c r="CG194" s="1" t="s">
        <v>36</v>
      </c>
      <c r="CH194" s="4" t="s">
        <v>37</v>
      </c>
      <c r="CI194" s="4" t="s">
        <v>38</v>
      </c>
      <c r="CJ194" s="1"/>
      <c r="CK194" s="4"/>
      <c r="CL194" s="1"/>
      <c r="CM194" s="4"/>
      <c r="CN194" s="4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</row>
    <row r="195" spans="83:122" x14ac:dyDescent="0.25">
      <c r="CE195" s="1"/>
      <c r="CF195" s="1"/>
      <c r="CG195" s="1"/>
      <c r="CH195" s="4"/>
      <c r="CI195" s="4"/>
      <c r="CJ195" s="1"/>
      <c r="CK195" s="4"/>
      <c r="CL195" s="1"/>
      <c r="CM195" s="4"/>
      <c r="CN195" s="4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</row>
    <row r="196" spans="83:122" x14ac:dyDescent="0.25">
      <c r="CE196" s="1"/>
      <c r="CF196" s="1"/>
      <c r="CG196" s="1" t="s">
        <v>6</v>
      </c>
      <c r="CH196" s="4">
        <f t="shared" ref="CH196:CI200" si="110">CM21</f>
        <v>0.15581395348837407</v>
      </c>
      <c r="CI196" s="4">
        <f t="shared" si="110"/>
        <v>0.70581395348837928</v>
      </c>
      <c r="CJ196" s="1"/>
      <c r="CK196" s="4"/>
      <c r="CL196" s="1"/>
      <c r="CM196" s="4"/>
      <c r="CN196" s="4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</row>
    <row r="197" spans="83:122" x14ac:dyDescent="0.25">
      <c r="CE197" s="1"/>
      <c r="CF197" s="1"/>
      <c r="CG197" s="1" t="s">
        <v>7</v>
      </c>
      <c r="CH197" s="4">
        <f t="shared" si="110"/>
        <v>0.1761817065684434</v>
      </c>
      <c r="CI197" s="4">
        <f t="shared" si="110"/>
        <v>-0.86062717770036035</v>
      </c>
      <c r="CJ197" s="1"/>
      <c r="CK197" s="4"/>
      <c r="CL197" s="1"/>
      <c r="CM197" s="4"/>
      <c r="CN197" s="4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</row>
    <row r="198" spans="83:122" x14ac:dyDescent="0.25">
      <c r="CE198" s="1"/>
      <c r="CF198" s="1"/>
      <c r="CG198" s="1" t="s">
        <v>8</v>
      </c>
      <c r="CH198" s="4">
        <f t="shared" si="110"/>
        <v>0.75483616265297948</v>
      </c>
      <c r="CI198" s="4">
        <f t="shared" si="110"/>
        <v>0.20252664824319241</v>
      </c>
      <c r="CJ198" s="1"/>
      <c r="CK198" s="1"/>
      <c r="CL198" s="1"/>
      <c r="CM198" s="4"/>
      <c r="CN198" s="4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</row>
    <row r="199" spans="83:122" x14ac:dyDescent="0.25">
      <c r="CE199" s="1"/>
      <c r="CF199" s="1"/>
      <c r="CG199" s="1" t="s">
        <v>9</v>
      </c>
      <c r="CH199" s="4">
        <f t="shared" si="110"/>
        <v>0.25290806754221212</v>
      </c>
      <c r="CI199" s="4">
        <f t="shared" si="110"/>
        <v>0.69230769230769362</v>
      </c>
      <c r="CJ199" s="1"/>
      <c r="CK199" s="1"/>
      <c r="CL199" s="1"/>
      <c r="CM199" s="4"/>
      <c r="CN199" s="4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</row>
    <row r="200" spans="83:122" x14ac:dyDescent="0.25">
      <c r="CE200" s="1"/>
      <c r="CF200" s="1"/>
      <c r="CG200" s="1" t="s">
        <v>10</v>
      </c>
      <c r="CH200" s="4">
        <f t="shared" si="110"/>
        <v>0.42151675485010359</v>
      </c>
      <c r="CI200" s="4">
        <f t="shared" si="110"/>
        <v>0.16754850088183346</v>
      </c>
      <c r="CJ200" s="1"/>
      <c r="CK200" s="1"/>
      <c r="CL200" s="1"/>
      <c r="CM200" s="4"/>
      <c r="CN200" s="4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</row>
    <row r="201" spans="83:122" x14ac:dyDescent="0.25">
      <c r="CE201" s="1"/>
      <c r="CF201" s="1"/>
      <c r="CG201" s="1"/>
      <c r="CH201" s="4"/>
      <c r="CI201" s="4"/>
      <c r="CJ201" s="1"/>
      <c r="CK201" s="1"/>
      <c r="CL201" s="1"/>
      <c r="CM201" s="4"/>
      <c r="CN201" s="4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</row>
    <row r="202" spans="83:122" x14ac:dyDescent="0.25">
      <c r="CE202" s="1"/>
      <c r="CF202" s="1"/>
      <c r="CG202" s="1" t="s">
        <v>36</v>
      </c>
      <c r="CH202" s="4" t="s">
        <v>37</v>
      </c>
      <c r="CI202" s="4" t="s">
        <v>38</v>
      </c>
      <c r="CJ202" s="1"/>
      <c r="CK202" s="1"/>
      <c r="CL202" s="1"/>
      <c r="CM202" s="4"/>
      <c r="CN202" s="4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</row>
    <row r="203" spans="83:122" x14ac:dyDescent="0.25">
      <c r="CE203" s="1"/>
      <c r="CF203" s="1"/>
      <c r="CG203" s="1"/>
      <c r="CH203" s="4"/>
      <c r="CI203" s="4"/>
      <c r="CJ203" s="1"/>
      <c r="CK203" s="1"/>
      <c r="CL203" s="1"/>
      <c r="CM203" s="4"/>
      <c r="CN203" s="4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</row>
    <row r="204" spans="83:122" x14ac:dyDescent="0.25">
      <c r="CE204" s="1"/>
      <c r="CF204" s="1"/>
      <c r="CG204" s="1" t="s">
        <v>13</v>
      </c>
      <c r="CH204" s="4">
        <f t="shared" ref="CH204:CI207" si="111">CM28</f>
        <v>0.4633911368015371</v>
      </c>
      <c r="CI204" s="4">
        <f t="shared" si="111"/>
        <v>0.38921001926782484</v>
      </c>
      <c r="CJ204" s="1"/>
      <c r="CK204" s="1"/>
      <c r="CL204" s="1"/>
      <c r="CM204" s="4"/>
      <c r="CN204" s="4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</row>
    <row r="205" spans="83:122" x14ac:dyDescent="0.25">
      <c r="CE205" s="1"/>
      <c r="CF205" s="1"/>
      <c r="CG205" s="1" t="s">
        <v>14</v>
      </c>
      <c r="CH205" s="4">
        <f t="shared" si="111"/>
        <v>0.85343709468222984</v>
      </c>
      <c r="CI205" s="4">
        <f t="shared" si="111"/>
        <v>9.9437959360137537E-2</v>
      </c>
      <c r="CJ205" s="1"/>
      <c r="CK205" s="1"/>
      <c r="CL205" s="1"/>
      <c r="CM205" s="4"/>
      <c r="CN205" s="4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</row>
    <row r="206" spans="83:122" x14ac:dyDescent="0.25">
      <c r="CE206" s="1"/>
      <c r="CF206" s="1"/>
      <c r="CG206" s="1" t="s">
        <v>15</v>
      </c>
      <c r="CH206" s="4">
        <f t="shared" si="111"/>
        <v>0.31305903398926621</v>
      </c>
      <c r="CI206" s="4">
        <f t="shared" si="111"/>
        <v>0.6110912343470446</v>
      </c>
      <c r="CJ206" s="1"/>
      <c r="CK206" s="1"/>
      <c r="CL206" s="1"/>
      <c r="CM206" s="4"/>
      <c r="CN206" s="4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</row>
    <row r="207" spans="83:122" x14ac:dyDescent="0.25">
      <c r="CE207" s="1"/>
      <c r="CF207" s="1"/>
      <c r="CG207" s="1" t="s">
        <v>16</v>
      </c>
      <c r="CH207" s="4">
        <f t="shared" si="111"/>
        <v>0.6631299734748024</v>
      </c>
      <c r="CI207" s="4">
        <f t="shared" si="111"/>
        <v>0.17572944297082521</v>
      </c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</row>
    <row r="208" spans="83:122" x14ac:dyDescent="0.25">
      <c r="CE208" s="1"/>
      <c r="CF208" s="1"/>
      <c r="CG208" s="1"/>
      <c r="CH208" s="4"/>
      <c r="CI208" s="4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</row>
    <row r="209" spans="83:122" x14ac:dyDescent="0.25">
      <c r="CE209" s="1"/>
      <c r="CF209" s="1"/>
      <c r="CG209" s="1" t="s">
        <v>36</v>
      </c>
      <c r="CH209" s="4" t="s">
        <v>37</v>
      </c>
      <c r="CI209" s="4" t="s">
        <v>38</v>
      </c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</row>
    <row r="210" spans="83:122" x14ac:dyDescent="0.25">
      <c r="CE210" s="1"/>
      <c r="CF210" s="1"/>
      <c r="CG210" s="1"/>
      <c r="CH210" s="4"/>
      <c r="CI210" s="4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</row>
    <row r="211" spans="83:122" x14ac:dyDescent="0.25">
      <c r="CE211" s="1"/>
      <c r="CF211" s="1"/>
      <c r="CG211" s="1" t="s">
        <v>19</v>
      </c>
      <c r="CH211" s="4">
        <f t="shared" ref="CH211:CI213" si="112">CM34</f>
        <v>0.83580320094843219</v>
      </c>
      <c r="CI211" s="4">
        <f t="shared" si="112"/>
        <v>3.6751630112616777E-2</v>
      </c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</row>
    <row r="212" spans="83:122" x14ac:dyDescent="0.25">
      <c r="CE212" s="1"/>
      <c r="CF212" s="1"/>
      <c r="CG212" s="1" t="s">
        <v>20</v>
      </c>
      <c r="CH212" s="4">
        <f t="shared" si="112"/>
        <v>0.20698689956332572</v>
      </c>
      <c r="CI212" s="4">
        <f t="shared" si="112"/>
        <v>0.60873362445414747</v>
      </c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</row>
    <row r="213" spans="83:122" x14ac:dyDescent="0.25">
      <c r="CE213" s="1"/>
      <c r="CF213" s="1"/>
      <c r="CG213" s="1" t="s">
        <v>21</v>
      </c>
      <c r="CH213" s="4">
        <f t="shared" si="112"/>
        <v>0.75503355704698016</v>
      </c>
      <c r="CI213" s="4">
        <f t="shared" si="112"/>
        <v>-0.16946308724831249</v>
      </c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</row>
    <row r="214" spans="83:122" x14ac:dyDescent="0.25">
      <c r="CE214" s="1"/>
      <c r="CF214" s="1"/>
      <c r="CG214" s="1" t="s">
        <v>24</v>
      </c>
      <c r="CH214" s="4">
        <f>CM39</f>
        <v>5.8144695960942322E-2</v>
      </c>
      <c r="CI214" s="4">
        <f>CN39</f>
        <v>0.7776298268974674</v>
      </c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</row>
    <row r="215" spans="83:122" x14ac:dyDescent="0.25">
      <c r="CE215" s="1"/>
      <c r="CF215" s="1"/>
      <c r="CG215" s="1" t="s">
        <v>25</v>
      </c>
      <c r="CH215" s="4">
        <f>CM40</f>
        <v>0.14583333333333082</v>
      </c>
      <c r="CI215" s="4">
        <f>CN40</f>
        <v>0.66964285714286198</v>
      </c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</row>
    <row r="216" spans="83:122" x14ac:dyDescent="0.25">
      <c r="CE216" s="1"/>
      <c r="CF216" s="1"/>
      <c r="CG216" s="1" t="s">
        <v>28</v>
      </c>
      <c r="CH216" s="4">
        <f>CM43</f>
        <v>0.69127516778523301</v>
      </c>
      <c r="CI216" s="4">
        <f>CN43</f>
        <v>0.10930009587726994</v>
      </c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</row>
  </sheetData>
  <sheetProtection algorithmName="SHA-512" hashValue="Pkdv+8aLeCwWkU4PeFbjrYe3uWWxNBVqw9SJY7hzicJZP2gG96bsde4aga8TuWutLoJdCdUN+MuzeZSGKk1O4g==" saltValue="OZN1UuY4yz+ry7qOs8S67g==" spinCount="100000" sheet="1" objects="1" scenarios="1"/>
  <mergeCells count="10">
    <mergeCell ref="AS9:AS10"/>
    <mergeCell ref="B38:C39"/>
    <mergeCell ref="P38:Q38"/>
    <mergeCell ref="AO1:AR2"/>
    <mergeCell ref="AS1:AS2"/>
    <mergeCell ref="AT1:AT2"/>
    <mergeCell ref="AU1:AU2"/>
    <mergeCell ref="AV1:AV2"/>
    <mergeCell ref="AS3:AS4"/>
    <mergeCell ref="AS5:AS7"/>
  </mergeCells>
  <conditionalFormatting sqref="AF10:AM10">
    <cfRule type="cellIs" dxfId="36" priority="34" stopIfTrue="1" operator="greaterThanOrEqual">
      <formula>6.5</formula>
    </cfRule>
    <cfRule type="cellIs" dxfId="35" priority="35" stopIfTrue="1" operator="lessThanOrEqual">
      <formula>2.5</formula>
    </cfRule>
  </conditionalFormatting>
  <conditionalFormatting sqref="B10">
    <cfRule type="cellIs" dxfId="34" priority="32" stopIfTrue="1" operator="lessThanOrEqual">
      <formula>0.25</formula>
    </cfRule>
    <cfRule type="cellIs" dxfId="33" priority="33" stopIfTrue="1" operator="greaterThanOrEqual">
      <formula>0.75</formula>
    </cfRule>
  </conditionalFormatting>
  <conditionalFormatting sqref="C10:AD10">
    <cfRule type="cellIs" dxfId="32" priority="30" stopIfTrue="1" operator="lessThanOrEqual">
      <formula>0.25</formula>
    </cfRule>
    <cfRule type="cellIs" dxfId="31" priority="31" stopIfTrue="1" operator="greaterThanOrEqual">
      <formula>0.75</formula>
    </cfRule>
  </conditionalFormatting>
  <conditionalFormatting sqref="AT8:AU10 AS3:AU7 AS9">
    <cfRule type="cellIs" dxfId="30" priority="26" stopIfTrue="1" operator="lessThanOrEqual">
      <formula>0.35</formula>
    </cfRule>
    <cfRule type="cellIs" dxfId="29" priority="27" stopIfTrue="1" operator="greaterThanOrEqual">
      <formula>0.65</formula>
    </cfRule>
  </conditionalFormatting>
  <conditionalFormatting sqref="AV3:AV10">
    <cfRule type="cellIs" dxfId="28" priority="28" stopIfTrue="1" operator="equal">
      <formula>"WEAK"</formula>
    </cfRule>
    <cfRule type="cellIs" dxfId="27" priority="29" stopIfTrue="1" operator="equal">
      <formula>"STRONG"</formula>
    </cfRule>
  </conditionalFormatting>
  <conditionalFormatting sqref="T11">
    <cfRule type="cellIs" dxfId="26" priority="20" operator="equal">
      <formula>"SELL"</formula>
    </cfRule>
    <cfRule type="cellIs" dxfId="25" priority="21" operator="equal">
      <formula>"BUY"</formula>
    </cfRule>
  </conditionalFormatting>
  <conditionalFormatting sqref="E43:E70">
    <cfRule type="cellIs" dxfId="24" priority="11" operator="equal">
      <formula>"SELL"</formula>
    </cfRule>
    <cfRule type="cellIs" dxfId="23" priority="12" operator="equal">
      <formula>"BUY"</formula>
    </cfRule>
  </conditionalFormatting>
  <conditionalFormatting sqref="R11">
    <cfRule type="cellIs" dxfId="22" priority="24" operator="equal">
      <formula>"SELL"</formula>
    </cfRule>
    <cfRule type="cellIs" dxfId="21" priority="25" operator="equal">
      <formula>"BUY"</formula>
    </cfRule>
  </conditionalFormatting>
  <conditionalFormatting sqref="S11">
    <cfRule type="cellIs" dxfId="20" priority="22" operator="equal">
      <formula>"SELL"</formula>
    </cfRule>
    <cfRule type="cellIs" dxfId="19" priority="23" operator="equal">
      <formula>"BUY"</formula>
    </cfRule>
  </conditionalFormatting>
  <conditionalFormatting sqref="D39:K39">
    <cfRule type="cellIs" dxfId="18" priority="17" stopIfTrue="1" operator="greaterThan">
      <formula>7</formula>
    </cfRule>
    <cfRule type="cellIs" dxfId="17" priority="18" stopIfTrue="1" operator="between">
      <formula>5.000001</formula>
      <formula>7</formula>
    </cfRule>
    <cfRule type="cellIs" dxfId="16" priority="19" stopIfTrue="1" operator="lessThan">
      <formula>2.000001</formula>
    </cfRule>
  </conditionalFormatting>
  <conditionalFormatting sqref="I43:I70">
    <cfRule type="cellIs" dxfId="15" priority="13" operator="lessThan">
      <formula>-3.3</formula>
    </cfRule>
    <cfRule type="cellIs" dxfId="14" priority="14" operator="greaterThan">
      <formula>3.38</formula>
    </cfRule>
  </conditionalFormatting>
  <conditionalFormatting sqref="G43:G52">
    <cfRule type="expression" dxfId="13" priority="36" stopIfTrue="1">
      <formula>IF(AND(G63&gt;=6.1,H63&lt;=2),1)</formula>
    </cfRule>
  </conditionalFormatting>
  <conditionalFormatting sqref="H43:H52">
    <cfRule type="expression" dxfId="12" priority="37" stopIfTrue="1">
      <formula>IF(AND(G63&lt;=2,H63&gt;=6.1),1)</formula>
    </cfRule>
  </conditionalFormatting>
  <conditionalFormatting sqref="C11:G11">
    <cfRule type="cellIs" dxfId="11" priority="9" operator="equal">
      <formula>"SELL"</formula>
    </cfRule>
    <cfRule type="cellIs" dxfId="10" priority="10" operator="equal">
      <formula>"BUY"</formula>
    </cfRule>
  </conditionalFormatting>
  <conditionalFormatting sqref="H11:J11">
    <cfRule type="cellIs" dxfId="9" priority="7" operator="equal">
      <formula>"SELL"</formula>
    </cfRule>
    <cfRule type="cellIs" dxfId="8" priority="8" operator="equal">
      <formula>"BUY"</formula>
    </cfRule>
  </conditionalFormatting>
  <conditionalFormatting sqref="K11:Q11">
    <cfRule type="cellIs" dxfId="7" priority="5" operator="equal">
      <formula>"SELL"</formula>
    </cfRule>
    <cfRule type="cellIs" dxfId="6" priority="6" operator="equal">
      <formula>"BUY"</formula>
    </cfRule>
  </conditionalFormatting>
  <conditionalFormatting sqref="U11:W11">
    <cfRule type="cellIs" dxfId="5" priority="3" operator="equal">
      <formula>"SELL"</formula>
    </cfRule>
    <cfRule type="cellIs" dxfId="4" priority="4" operator="equal">
      <formula>"BUY"</formula>
    </cfRule>
  </conditionalFormatting>
  <conditionalFormatting sqref="X11:AD11">
    <cfRule type="cellIs" dxfId="3" priority="1" operator="equal">
      <formula>"SELL"</formula>
    </cfRule>
    <cfRule type="cellIs" dxfId="2" priority="2" operator="equal">
      <formula>"BUY"</formula>
    </cfRule>
  </conditionalFormatting>
  <conditionalFormatting sqref="G53:G70">
    <cfRule type="expression" dxfId="1" priority="16" stopIfTrue="1">
      <formula>IF(AND(#REF!&gt;=6.1,#REF!&lt;=2),1)</formula>
    </cfRule>
  </conditionalFormatting>
  <conditionalFormatting sqref="H53:H70">
    <cfRule type="expression" dxfId="0" priority="15" stopIfTrue="1">
      <formula>IF(AND(#REF!&lt;=2,#REF!&gt;=6.1),1)</formula>
    </cfRule>
  </conditionalFormatting>
  <pageMargins left="0.7" right="0.7" top="0.75" bottom="0.75" header="0.3" footer="0.3"/>
  <pageSetup paperSize="9" orientation="portrait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 (6)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 McSalley</dc:creator>
  <cp:lastModifiedBy>IAM</cp:lastModifiedBy>
  <dcterms:created xsi:type="dcterms:W3CDTF">2015-09-09T22:06:19Z</dcterms:created>
  <dcterms:modified xsi:type="dcterms:W3CDTF">2016-02-12T23:47:03Z</dcterms:modified>
</cp:coreProperties>
</file>