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ds\Desktop\"/>
    </mc:Choice>
  </mc:AlternateContent>
  <xr:revisionPtr revIDLastSave="0" documentId="13_ncr:1_{7192E631-00E2-4A90-9A4F-F4D6BE6821BB}" xr6:coauthVersionLast="46" xr6:coauthVersionMax="46" xr10:uidLastSave="{00000000-0000-0000-0000-000000000000}"/>
  <bookViews>
    <workbookView xWindow="-120" yWindow="-120" windowWidth="29040" windowHeight="15840" tabRatio="989" xr2:uid="{00000000-000D-0000-FFFF-FFFF00000000}"/>
  </bookViews>
  <sheets>
    <sheet name="1" sheetId="2" r:id="rId1"/>
    <sheet name="2" sheetId="3" r:id="rId2"/>
  </sheets>
  <calcPr calcId="181029"/>
</workbook>
</file>

<file path=xl/calcChain.xml><?xml version="1.0" encoding="utf-8"?>
<calcChain xmlns="http://schemas.openxmlformats.org/spreadsheetml/2006/main">
  <c r="U22" i="2" l="1"/>
  <c r="X22" i="2" s="1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46" i="2"/>
  <c r="G45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46" i="2"/>
  <c r="P45" i="2"/>
  <c r="Q46" i="2"/>
  <c r="H49" i="2"/>
  <c r="H48" i="2"/>
  <c r="H47" i="2"/>
  <c r="H46" i="2"/>
  <c r="H45" i="2"/>
  <c r="C29" i="2"/>
  <c r="C30" i="2" s="1"/>
  <c r="C28" i="2"/>
  <c r="Z24" i="2"/>
  <c r="Z25" i="2"/>
  <c r="Z26" i="2"/>
  <c r="Z27" i="2"/>
  <c r="AA27" i="2" s="1"/>
  <c r="Z28" i="2"/>
  <c r="AA28" i="2" s="1"/>
  <c r="Z29" i="2"/>
  <c r="Z30" i="2"/>
  <c r="Z31" i="2"/>
  <c r="AA31" i="2" s="1"/>
  <c r="Z32" i="2"/>
  <c r="Z33" i="2"/>
  <c r="Z34" i="2"/>
  <c r="Z35" i="2"/>
  <c r="AA35" i="2" s="1"/>
  <c r="Z36" i="2"/>
  <c r="Z37" i="2"/>
  <c r="Z38" i="2"/>
  <c r="Z39" i="2"/>
  <c r="Z40" i="2"/>
  <c r="Z41" i="2"/>
  <c r="Z23" i="2"/>
  <c r="Z22" i="2"/>
  <c r="X24" i="2"/>
  <c r="Y47" i="2" s="1"/>
  <c r="X25" i="2"/>
  <c r="Y48" i="2" s="1"/>
  <c r="X26" i="2"/>
  <c r="Y49" i="2" s="1"/>
  <c r="X27" i="2"/>
  <c r="Y50" i="2" s="1"/>
  <c r="X28" i="2"/>
  <c r="Y51" i="2" s="1"/>
  <c r="X29" i="2"/>
  <c r="Y52" i="2" s="1"/>
  <c r="X30" i="2"/>
  <c r="Y53" i="2" s="1"/>
  <c r="X31" i="2"/>
  <c r="Y54" i="2" s="1"/>
  <c r="X32" i="2"/>
  <c r="Y55" i="2" s="1"/>
  <c r="X33" i="2"/>
  <c r="Y56" i="2" s="1"/>
  <c r="X34" i="2"/>
  <c r="Y57" i="2" s="1"/>
  <c r="X35" i="2"/>
  <c r="Y58" i="2" s="1"/>
  <c r="X36" i="2"/>
  <c r="Y59" i="2" s="1"/>
  <c r="X37" i="2"/>
  <c r="Y60" i="2" s="1"/>
  <c r="X38" i="2"/>
  <c r="Y61" i="2" s="1"/>
  <c r="X39" i="2"/>
  <c r="Y62" i="2" s="1"/>
  <c r="X40" i="2"/>
  <c r="Y63" i="2" s="1"/>
  <c r="X41" i="2"/>
  <c r="Y64" i="2" s="1"/>
  <c r="X23" i="2"/>
  <c r="Y46" i="2" s="1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23" i="2"/>
  <c r="L35" i="2"/>
  <c r="L34" i="2"/>
  <c r="L33" i="2"/>
  <c r="L32" i="2"/>
  <c r="L31" i="2"/>
  <c r="O31" i="2" s="1"/>
  <c r="Q24" i="2"/>
  <c r="Q25" i="2"/>
  <c r="Q26" i="2"/>
  <c r="Q27" i="2"/>
  <c r="Q28" i="2"/>
  <c r="Q29" i="2"/>
  <c r="Q30" i="2"/>
  <c r="R53" i="2" s="1"/>
  <c r="Q31" i="2"/>
  <c r="R31" i="2" s="1"/>
  <c r="Q32" i="2"/>
  <c r="R32" i="2" s="1"/>
  <c r="Q41" i="2"/>
  <c r="Q23" i="2"/>
  <c r="R23" i="2" s="1"/>
  <c r="Q22" i="2"/>
  <c r="O24" i="2"/>
  <c r="O25" i="2"/>
  <c r="O26" i="2"/>
  <c r="O27" i="2"/>
  <c r="O28" i="2"/>
  <c r="O29" i="2"/>
  <c r="O30" i="2"/>
  <c r="O32" i="2"/>
  <c r="O41" i="2"/>
  <c r="O23" i="2"/>
  <c r="O22" i="2"/>
  <c r="O15" i="2"/>
  <c r="W15" i="2"/>
  <c r="X15" i="2" s="1"/>
  <c r="X10" i="2"/>
  <c r="W10" i="2"/>
  <c r="W24" i="2" s="1"/>
  <c r="R29" i="2"/>
  <c r="N15" i="2"/>
  <c r="O10" i="2"/>
  <c r="M25" i="2" s="1"/>
  <c r="N10" i="2"/>
  <c r="N29" i="2" s="1"/>
  <c r="H22" i="2"/>
  <c r="I22" i="2" s="1"/>
  <c r="E15" i="2"/>
  <c r="F15" i="2" s="1"/>
  <c r="F10" i="2"/>
  <c r="E10" i="2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F23" i="2"/>
  <c r="F22" i="2"/>
  <c r="AA59" i="2" l="1"/>
  <c r="O55" i="2"/>
  <c r="O48" i="2"/>
  <c r="O47" i="2"/>
  <c r="O50" i="2"/>
  <c r="O51" i="2"/>
  <c r="O49" i="2"/>
  <c r="O52" i="2"/>
  <c r="O45" i="2"/>
  <c r="O53" i="2"/>
  <c r="O46" i="2"/>
  <c r="O54" i="2"/>
  <c r="AA62" i="2"/>
  <c r="AA36" i="2"/>
  <c r="H30" i="2"/>
  <c r="I30" i="2" s="1"/>
  <c r="C31" i="2"/>
  <c r="F46" i="2"/>
  <c r="AA45" i="2"/>
  <c r="AA51" i="2"/>
  <c r="AA46" i="2"/>
  <c r="AA57" i="2"/>
  <c r="AA49" i="2"/>
  <c r="AA64" i="2"/>
  <c r="AA56" i="2"/>
  <c r="AA48" i="2"/>
  <c r="AA63" i="2"/>
  <c r="AA55" i="2"/>
  <c r="AA47" i="2"/>
  <c r="AA61" i="2"/>
  <c r="AA53" i="2"/>
  <c r="AA60" i="2"/>
  <c r="AA52" i="2"/>
  <c r="S49" i="2"/>
  <c r="R50" i="2"/>
  <c r="R49" i="2"/>
  <c r="R64" i="2"/>
  <c r="R48" i="2"/>
  <c r="R52" i="2"/>
  <c r="R51" i="2"/>
  <c r="R47" i="2"/>
  <c r="W27" i="2"/>
  <c r="W39" i="2"/>
  <c r="W31" i="2"/>
  <c r="W38" i="2"/>
  <c r="W30" i="2"/>
  <c r="W37" i="2"/>
  <c r="W29" i="2"/>
  <c r="W22" i="2"/>
  <c r="W36" i="2"/>
  <c r="W28" i="2"/>
  <c r="W23" i="2"/>
  <c r="W34" i="2"/>
  <c r="W26" i="2"/>
  <c r="W41" i="2"/>
  <c r="W33" i="2"/>
  <c r="W25" i="2"/>
  <c r="W35" i="2"/>
  <c r="W40" i="2"/>
  <c r="W32" i="2"/>
  <c r="X59" i="2"/>
  <c r="X51" i="2"/>
  <c r="AA54" i="2"/>
  <c r="X64" i="2"/>
  <c r="X49" i="2"/>
  <c r="AA58" i="2"/>
  <c r="AA50" i="2"/>
  <c r="X63" i="2"/>
  <c r="X57" i="2"/>
  <c r="X50" i="2"/>
  <c r="X58" i="2"/>
  <c r="X52" i="2"/>
  <c r="X60" i="2"/>
  <c r="X45" i="2"/>
  <c r="X53" i="2"/>
  <c r="X61" i="2"/>
  <c r="X46" i="2"/>
  <c r="X54" i="2"/>
  <c r="X62" i="2"/>
  <c r="X47" i="2"/>
  <c r="X55" i="2"/>
  <c r="X48" i="2"/>
  <c r="X56" i="2"/>
  <c r="AA39" i="2"/>
  <c r="V40" i="2"/>
  <c r="V29" i="2"/>
  <c r="V23" i="2"/>
  <c r="V24" i="2"/>
  <c r="V33" i="2"/>
  <c r="V27" i="2"/>
  <c r="Y27" i="2" s="1"/>
  <c r="V36" i="2"/>
  <c r="V26" i="2"/>
  <c r="Y26" i="2" s="1"/>
  <c r="V34" i="2"/>
  <c r="V31" i="2"/>
  <c r="V25" i="2"/>
  <c r="V22" i="2"/>
  <c r="Y45" i="2" s="1"/>
  <c r="AB45" i="2" s="1"/>
  <c r="V28" i="2"/>
  <c r="V37" i="2"/>
  <c r="Y37" i="2" s="1"/>
  <c r="V32" i="2"/>
  <c r="V35" i="2"/>
  <c r="Y35" i="2" s="1"/>
  <c r="V39" i="2"/>
  <c r="V41" i="2"/>
  <c r="Y36" i="2"/>
  <c r="AA23" i="2"/>
  <c r="Y28" i="2"/>
  <c r="Y29" i="2"/>
  <c r="V30" i="2"/>
  <c r="V38" i="2"/>
  <c r="Y38" i="2" s="1"/>
  <c r="R28" i="2"/>
  <c r="Y34" i="2"/>
  <c r="I53" i="2"/>
  <c r="R24" i="2"/>
  <c r="R27" i="2"/>
  <c r="O33" i="2"/>
  <c r="Q33" i="2"/>
  <c r="R56" i="2" s="1"/>
  <c r="M30" i="2"/>
  <c r="P30" i="2" s="1"/>
  <c r="N23" i="2"/>
  <c r="N34" i="2"/>
  <c r="N26" i="2"/>
  <c r="M24" i="2"/>
  <c r="P24" i="2" s="1"/>
  <c r="M29" i="2"/>
  <c r="P29" i="2" s="1"/>
  <c r="N41" i="2"/>
  <c r="N33" i="2"/>
  <c r="N25" i="2"/>
  <c r="N22" i="2"/>
  <c r="M28" i="2"/>
  <c r="P28" i="2" s="1"/>
  <c r="N32" i="2"/>
  <c r="N24" i="2"/>
  <c r="N27" i="2"/>
  <c r="M22" i="2"/>
  <c r="M45" i="2" s="1"/>
  <c r="M27" i="2"/>
  <c r="P27" i="2" s="1"/>
  <c r="N31" i="2"/>
  <c r="M32" i="2"/>
  <c r="P32" i="2" s="1"/>
  <c r="M31" i="2"/>
  <c r="P31" i="2" s="1"/>
  <c r="M23" i="2"/>
  <c r="P23" i="2" s="1"/>
  <c r="M34" i="2"/>
  <c r="M26" i="2"/>
  <c r="P26" i="2" s="1"/>
  <c r="N30" i="2"/>
  <c r="N28" i="2"/>
  <c r="M41" i="2"/>
  <c r="P41" i="2" s="1"/>
  <c r="M33" i="2"/>
  <c r="R55" i="2"/>
  <c r="R54" i="2"/>
  <c r="R46" i="2"/>
  <c r="S47" i="2" s="1"/>
  <c r="I45" i="2"/>
  <c r="AA22" i="2"/>
  <c r="Y25" i="2"/>
  <c r="AA26" i="2"/>
  <c r="AA30" i="2"/>
  <c r="Y33" i="2"/>
  <c r="AA34" i="2"/>
  <c r="AA38" i="2"/>
  <c r="Y41" i="2"/>
  <c r="Y24" i="2"/>
  <c r="AA25" i="2"/>
  <c r="AA29" i="2"/>
  <c r="Y32" i="2"/>
  <c r="AA33" i="2"/>
  <c r="AA37" i="2"/>
  <c r="Y40" i="2"/>
  <c r="AA41" i="2"/>
  <c r="Y23" i="2"/>
  <c r="AA24" i="2"/>
  <c r="Y31" i="2"/>
  <c r="AA32" i="2"/>
  <c r="Y39" i="2"/>
  <c r="AA40" i="2"/>
  <c r="Y22" i="2"/>
  <c r="R45" i="2"/>
  <c r="R22" i="2"/>
  <c r="P25" i="2"/>
  <c r="R26" i="2"/>
  <c r="R30" i="2"/>
  <c r="S45" i="2"/>
  <c r="R25" i="2"/>
  <c r="R41" i="2"/>
  <c r="I46" i="2"/>
  <c r="I49" i="2"/>
  <c r="I48" i="2"/>
  <c r="I47" i="2"/>
  <c r="I52" i="2"/>
  <c r="I50" i="2"/>
  <c r="I51" i="2"/>
  <c r="F45" i="2"/>
  <c r="D23" i="2"/>
  <c r="G23" i="2" s="1"/>
  <c r="E27" i="2"/>
  <c r="E26" i="2"/>
  <c r="E25" i="2"/>
  <c r="E24" i="2"/>
  <c r="E31" i="2"/>
  <c r="E23" i="2"/>
  <c r="E30" i="2"/>
  <c r="E29" i="2"/>
  <c r="E28" i="2"/>
  <c r="E22" i="2"/>
  <c r="D30" i="2"/>
  <c r="D29" i="2"/>
  <c r="D28" i="2"/>
  <c r="D22" i="2"/>
  <c r="D45" i="2" s="1"/>
  <c r="D27" i="2"/>
  <c r="D26" i="2"/>
  <c r="D25" i="2"/>
  <c r="D24" i="2"/>
  <c r="D31" i="2"/>
  <c r="F25" i="2"/>
  <c r="F48" i="2" s="1"/>
  <c r="F24" i="2"/>
  <c r="F47" i="2" s="1"/>
  <c r="V47" i="2" l="1"/>
  <c r="V55" i="2"/>
  <c r="V63" i="2"/>
  <c r="V49" i="2"/>
  <c r="V58" i="2"/>
  <c r="V51" i="2"/>
  <c r="V60" i="2"/>
  <c r="V61" i="2"/>
  <c r="V46" i="2"/>
  <c r="V62" i="2"/>
  <c r="V48" i="2"/>
  <c r="V56" i="2"/>
  <c r="V64" i="2"/>
  <c r="V57" i="2"/>
  <c r="V50" i="2"/>
  <c r="V59" i="2"/>
  <c r="V52" i="2"/>
  <c r="V53" i="2"/>
  <c r="V54" i="2"/>
  <c r="V45" i="2"/>
  <c r="O56" i="2"/>
  <c r="C32" i="2"/>
  <c r="H31" i="2"/>
  <c r="E54" i="2"/>
  <c r="E46" i="2"/>
  <c r="E53" i="2"/>
  <c r="E45" i="2"/>
  <c r="E47" i="2"/>
  <c r="E52" i="2"/>
  <c r="E51" i="2"/>
  <c r="E50" i="2"/>
  <c r="E49" i="2"/>
  <c r="E48" i="2"/>
  <c r="W63" i="2"/>
  <c r="N56" i="2"/>
  <c r="N48" i="2"/>
  <c r="N55" i="2"/>
  <c r="N47" i="2"/>
  <c r="N54" i="2"/>
  <c r="N46" i="2"/>
  <c r="N53" i="2"/>
  <c r="N45" i="2"/>
  <c r="N52" i="2"/>
  <c r="N51" i="2"/>
  <c r="N50" i="2"/>
  <c r="N57" i="2"/>
  <c r="N49" i="2"/>
  <c r="W62" i="2"/>
  <c r="W55" i="2"/>
  <c r="W47" i="2"/>
  <c r="W45" i="2"/>
  <c r="W46" i="2"/>
  <c r="W58" i="2"/>
  <c r="W61" i="2"/>
  <c r="W59" i="2"/>
  <c r="W60" i="2"/>
  <c r="W54" i="2"/>
  <c r="W50" i="2"/>
  <c r="W48" i="2"/>
  <c r="W49" i="2"/>
  <c r="W53" i="2"/>
  <c r="W51" i="2"/>
  <c r="W57" i="2"/>
  <c r="W64" i="2"/>
  <c r="W52" i="2"/>
  <c r="W56" i="2"/>
  <c r="Y30" i="2"/>
  <c r="Z55" i="2" s="1"/>
  <c r="AB63" i="2"/>
  <c r="J48" i="2"/>
  <c r="M46" i="2"/>
  <c r="R33" i="2"/>
  <c r="O34" i="2"/>
  <c r="Q34" i="2"/>
  <c r="M57" i="2"/>
  <c r="M52" i="2"/>
  <c r="M50" i="2"/>
  <c r="P22" i="2"/>
  <c r="Q47" i="2" s="1"/>
  <c r="M48" i="2"/>
  <c r="M47" i="2"/>
  <c r="M51" i="2"/>
  <c r="M54" i="2"/>
  <c r="M55" i="2"/>
  <c r="M56" i="2"/>
  <c r="M53" i="2"/>
  <c r="P33" i="2"/>
  <c r="M49" i="2"/>
  <c r="AB53" i="2"/>
  <c r="S53" i="2"/>
  <c r="Q45" i="2"/>
  <c r="Q48" i="2"/>
  <c r="Q52" i="2"/>
  <c r="Z62" i="2"/>
  <c r="Z54" i="2"/>
  <c r="Z46" i="2"/>
  <c r="Z64" i="2"/>
  <c r="Z56" i="2"/>
  <c r="Z48" i="2"/>
  <c r="Z58" i="2"/>
  <c r="Z50" i="2"/>
  <c r="Z60" i="2"/>
  <c r="Z52" i="2"/>
  <c r="AB51" i="2"/>
  <c r="AB59" i="2"/>
  <c r="AB64" i="2"/>
  <c r="AB56" i="2"/>
  <c r="AB48" i="2"/>
  <c r="AB58" i="2"/>
  <c r="AB50" i="2"/>
  <c r="AB60" i="2"/>
  <c r="AB52" i="2"/>
  <c r="AB62" i="2"/>
  <c r="AB54" i="2"/>
  <c r="AB46" i="2"/>
  <c r="AB61" i="2"/>
  <c r="Z45" i="2"/>
  <c r="AB49" i="2"/>
  <c r="Z47" i="2"/>
  <c r="Z51" i="2"/>
  <c r="Z49" i="2"/>
  <c r="AB47" i="2"/>
  <c r="AB57" i="2"/>
  <c r="AB55" i="2"/>
  <c r="S55" i="2"/>
  <c r="S56" i="2"/>
  <c r="S50" i="2"/>
  <c r="S52" i="2"/>
  <c r="S54" i="2"/>
  <c r="S46" i="2"/>
  <c r="S48" i="2"/>
  <c r="Q50" i="2"/>
  <c r="Q51" i="2"/>
  <c r="S51" i="2"/>
  <c r="Q54" i="2"/>
  <c r="J46" i="2"/>
  <c r="J45" i="2"/>
  <c r="G25" i="2"/>
  <c r="G24" i="2"/>
  <c r="D54" i="2"/>
  <c r="G22" i="2"/>
  <c r="D49" i="2"/>
  <c r="D46" i="2"/>
  <c r="D47" i="2"/>
  <c r="D53" i="2"/>
  <c r="D52" i="2"/>
  <c r="D48" i="2"/>
  <c r="D51" i="2"/>
  <c r="D50" i="2"/>
  <c r="F26" i="2"/>
  <c r="F49" i="2" s="1"/>
  <c r="O57" i="2" l="1"/>
  <c r="Z53" i="2"/>
  <c r="Z59" i="2"/>
  <c r="Z61" i="2"/>
  <c r="Z57" i="2"/>
  <c r="Z63" i="2"/>
  <c r="I31" i="2"/>
  <c r="I54" i="2"/>
  <c r="F32" i="2"/>
  <c r="C33" i="2"/>
  <c r="H32" i="2"/>
  <c r="D32" i="2"/>
  <c r="E32" i="2"/>
  <c r="Q49" i="2"/>
  <c r="Q53" i="2"/>
  <c r="Q55" i="2"/>
  <c r="R57" i="2"/>
  <c r="R34" i="2"/>
  <c r="O35" i="2"/>
  <c r="Q35" i="2"/>
  <c r="M35" i="2"/>
  <c r="N35" i="2"/>
  <c r="P34" i="2"/>
  <c r="Q56" i="2"/>
  <c r="G26" i="2"/>
  <c r="J47" i="2"/>
  <c r="F27" i="2"/>
  <c r="O58" i="2" l="1"/>
  <c r="E55" i="2"/>
  <c r="F33" i="2"/>
  <c r="H33" i="2"/>
  <c r="C34" i="2"/>
  <c r="D33" i="2"/>
  <c r="E33" i="2"/>
  <c r="D55" i="2"/>
  <c r="D56" i="2"/>
  <c r="I32" i="2"/>
  <c r="I55" i="2"/>
  <c r="G32" i="2"/>
  <c r="F50" i="2"/>
  <c r="N58" i="2"/>
  <c r="Q57" i="2"/>
  <c r="R35" i="2"/>
  <c r="R58" i="2"/>
  <c r="P35" i="2"/>
  <c r="M58" i="2"/>
  <c r="Q36" i="2"/>
  <c r="O36" i="2"/>
  <c r="M36" i="2"/>
  <c r="M59" i="2" s="1"/>
  <c r="N36" i="2"/>
  <c r="S57" i="2"/>
  <c r="J49" i="2"/>
  <c r="G27" i="2"/>
  <c r="F28" i="2"/>
  <c r="F51" i="2" s="1"/>
  <c r="O59" i="2" l="1"/>
  <c r="F34" i="2"/>
  <c r="H34" i="2"/>
  <c r="C35" i="2"/>
  <c r="E34" i="2"/>
  <c r="D34" i="2"/>
  <c r="I33" i="2"/>
  <c r="I56" i="2"/>
  <c r="G33" i="2"/>
  <c r="E56" i="2"/>
  <c r="D57" i="2"/>
  <c r="N59" i="2"/>
  <c r="P36" i="2"/>
  <c r="R36" i="2"/>
  <c r="R59" i="2"/>
  <c r="Q58" i="2"/>
  <c r="Q37" i="2"/>
  <c r="O37" i="2"/>
  <c r="N37" i="2"/>
  <c r="N60" i="2" s="1"/>
  <c r="M37" i="2"/>
  <c r="S58" i="2"/>
  <c r="H50" i="2"/>
  <c r="J50" i="2"/>
  <c r="G28" i="2"/>
  <c r="F29" i="2"/>
  <c r="F52" i="2" s="1"/>
  <c r="O60" i="2" l="1"/>
  <c r="I34" i="2"/>
  <c r="I57" i="2"/>
  <c r="E57" i="2"/>
  <c r="F35" i="2"/>
  <c r="H35" i="2"/>
  <c r="C36" i="2"/>
  <c r="D35" i="2"/>
  <c r="E35" i="2"/>
  <c r="E58" i="2"/>
  <c r="G34" i="2"/>
  <c r="N61" i="2"/>
  <c r="P37" i="2"/>
  <c r="M60" i="2"/>
  <c r="S59" i="2"/>
  <c r="Q38" i="2"/>
  <c r="O38" i="2"/>
  <c r="N38" i="2"/>
  <c r="M38" i="2"/>
  <c r="Q59" i="2"/>
  <c r="R37" i="2"/>
  <c r="R60" i="2"/>
  <c r="H51" i="2"/>
  <c r="J51" i="2"/>
  <c r="G29" i="2"/>
  <c r="F30" i="2"/>
  <c r="O61" i="2" l="1"/>
  <c r="I35" i="2"/>
  <c r="I58" i="2"/>
  <c r="C37" i="2"/>
  <c r="H36" i="2"/>
  <c r="F36" i="2"/>
  <c r="E36" i="2"/>
  <c r="D36" i="2"/>
  <c r="G35" i="2"/>
  <c r="D58" i="2"/>
  <c r="P38" i="2"/>
  <c r="M61" i="2"/>
  <c r="R61" i="2"/>
  <c r="R38" i="2"/>
  <c r="S60" i="2"/>
  <c r="Q39" i="2"/>
  <c r="O39" i="2"/>
  <c r="N39" i="2"/>
  <c r="N62" i="2" s="1"/>
  <c r="M39" i="2"/>
  <c r="M62" i="2" s="1"/>
  <c r="Q60" i="2"/>
  <c r="J52" i="2"/>
  <c r="F55" i="2"/>
  <c r="F57" i="2"/>
  <c r="H52" i="2"/>
  <c r="G30" i="2"/>
  <c r="F53" i="2"/>
  <c r="F31" i="2"/>
  <c r="O62" i="2" l="1"/>
  <c r="G36" i="2"/>
  <c r="D59" i="2"/>
  <c r="F59" i="2"/>
  <c r="I36" i="2"/>
  <c r="I59" i="2"/>
  <c r="F37" i="2"/>
  <c r="C38" i="2"/>
  <c r="H37" i="2"/>
  <c r="E37" i="2"/>
  <c r="E60" i="2" s="1"/>
  <c r="D37" i="2"/>
  <c r="D60" i="2"/>
  <c r="E59" i="2"/>
  <c r="Q61" i="2"/>
  <c r="P39" i="2"/>
  <c r="R62" i="2"/>
  <c r="R39" i="2"/>
  <c r="S61" i="2"/>
  <c r="O40" i="2"/>
  <c r="O63" i="2" s="1"/>
  <c r="Q40" i="2"/>
  <c r="O64" i="2" s="1"/>
  <c r="N40" i="2"/>
  <c r="M40" i="2"/>
  <c r="M63" i="2" s="1"/>
  <c r="F56" i="2"/>
  <c r="F58" i="2"/>
  <c r="H55" i="2"/>
  <c r="H53" i="2"/>
  <c r="H59" i="2"/>
  <c r="H57" i="2"/>
  <c r="J53" i="2"/>
  <c r="J57" i="2"/>
  <c r="J55" i="2"/>
  <c r="J59" i="2"/>
  <c r="G31" i="2"/>
  <c r="F54" i="2"/>
  <c r="G37" i="2" l="1"/>
  <c r="F60" i="2"/>
  <c r="I37" i="2"/>
  <c r="I60" i="2"/>
  <c r="C39" i="2"/>
  <c r="F38" i="2"/>
  <c r="H38" i="2"/>
  <c r="D38" i="2"/>
  <c r="D61" i="2" s="1"/>
  <c r="E38" i="2"/>
  <c r="E61" i="2" s="1"/>
  <c r="N64" i="2"/>
  <c r="N63" i="2"/>
  <c r="S63" i="2"/>
  <c r="Q62" i="2"/>
  <c r="S62" i="2"/>
  <c r="R63" i="2"/>
  <c r="S64" i="2" s="1"/>
  <c r="R40" i="2"/>
  <c r="Q64" i="2" s="1"/>
  <c r="P40" i="2"/>
  <c r="Q63" i="2" s="1"/>
  <c r="M64" i="2"/>
  <c r="H58" i="2"/>
  <c r="H56" i="2"/>
  <c r="H60" i="2"/>
  <c r="H54" i="2"/>
  <c r="J60" i="2"/>
  <c r="J58" i="2"/>
  <c r="J56" i="2"/>
  <c r="J54" i="2"/>
  <c r="F61" i="2" l="1"/>
  <c r="G38" i="2"/>
  <c r="D62" i="2"/>
  <c r="I38" i="2"/>
  <c r="I61" i="2"/>
  <c r="C40" i="2"/>
  <c r="F39" i="2"/>
  <c r="H39" i="2"/>
  <c r="D39" i="2"/>
  <c r="E39" i="2"/>
  <c r="E62" i="2" s="1"/>
  <c r="H61" i="2" l="1"/>
  <c r="G39" i="2"/>
  <c r="I39" i="2"/>
  <c r="I62" i="2"/>
  <c r="F62" i="2"/>
  <c r="C41" i="2"/>
  <c r="H40" i="2"/>
  <c r="F40" i="2"/>
  <c r="D40" i="2"/>
  <c r="D63" i="2" s="1"/>
  <c r="E40" i="2"/>
  <c r="E63" i="2" s="1"/>
  <c r="J61" i="2"/>
  <c r="J63" i="2" l="1"/>
  <c r="F63" i="2"/>
  <c r="I40" i="2"/>
  <c r="I63" i="2"/>
  <c r="J62" i="2"/>
  <c r="G40" i="2"/>
  <c r="H63" i="2" s="1"/>
  <c r="D64" i="2"/>
  <c r="H62" i="2"/>
  <c r="F41" i="2"/>
  <c r="H41" i="2"/>
  <c r="D41" i="2"/>
  <c r="E41" i="2"/>
  <c r="E64" i="2" s="1"/>
  <c r="G41" i="2" l="1"/>
  <c r="H64" i="2" s="1"/>
  <c r="I41" i="2"/>
  <c r="I64" i="2"/>
  <c r="J64" i="2"/>
  <c r="F64" i="2"/>
</calcChain>
</file>

<file path=xl/sharedStrings.xml><?xml version="1.0" encoding="utf-8"?>
<sst xmlns="http://schemas.openxmlformats.org/spreadsheetml/2006/main" count="105" uniqueCount="56">
  <si>
    <t>Loss</t>
  </si>
  <si>
    <t>Win</t>
  </si>
  <si>
    <t>NZDCHF</t>
  </si>
  <si>
    <t>NZDJPY</t>
  </si>
  <si>
    <t>NZDCAD</t>
  </si>
  <si>
    <t>AUDUSD</t>
  </si>
  <si>
    <t>AUDCHF</t>
  </si>
  <si>
    <t>AUDJPY</t>
  </si>
  <si>
    <t>AUDCAD</t>
  </si>
  <si>
    <t>AUDNZD</t>
  </si>
  <si>
    <t>CADCHF</t>
  </si>
  <si>
    <t>CADJPY</t>
  </si>
  <si>
    <t>USDCHF</t>
  </si>
  <si>
    <t>USDJPY</t>
  </si>
  <si>
    <t>USDCAD</t>
  </si>
  <si>
    <t>USDMXN</t>
  </si>
  <si>
    <t>USDNOK</t>
  </si>
  <si>
    <t>USDRUB</t>
  </si>
  <si>
    <t>USDSEK</t>
  </si>
  <si>
    <t>USDSGD</t>
  </si>
  <si>
    <t>USDZAR</t>
  </si>
  <si>
    <t>CHFJPY</t>
  </si>
  <si>
    <t>EURUSD</t>
  </si>
  <si>
    <t>EURCHF</t>
  </si>
  <si>
    <t>EURGBP</t>
  </si>
  <si>
    <t>EURJPY</t>
  </si>
  <si>
    <t>EURAUD</t>
  </si>
  <si>
    <t>EURCAD</t>
  </si>
  <si>
    <t>EURNZD</t>
  </si>
  <si>
    <t>EURNOK</t>
  </si>
  <si>
    <t>EURZAR</t>
  </si>
  <si>
    <t>GBPUSD</t>
  </si>
  <si>
    <t>GBPCHF</t>
  </si>
  <si>
    <t>GBPJPY</t>
  </si>
  <si>
    <t>GBPAUD</t>
  </si>
  <si>
    <t>GBPCAD</t>
  </si>
  <si>
    <t>GBPNZD</t>
  </si>
  <si>
    <t>NZDUSD</t>
  </si>
  <si>
    <t>Symbol</t>
  </si>
  <si>
    <t>Margin</t>
  </si>
  <si>
    <t>Commision</t>
  </si>
  <si>
    <t>Commission</t>
  </si>
  <si>
    <t>Lot</t>
  </si>
  <si>
    <t>Commision (1 Lot)</t>
  </si>
  <si>
    <t>Trades Open</t>
  </si>
  <si>
    <t>Total Commission</t>
  </si>
  <si>
    <t>Winning Pips</t>
  </si>
  <si>
    <t xml:space="preserve">OGT Recovery </t>
  </si>
  <si>
    <t>Profit USD Pairs</t>
  </si>
  <si>
    <t>Profit non USD Pairs</t>
  </si>
  <si>
    <t>Curent Price</t>
  </si>
  <si>
    <t>Pip Value</t>
  </si>
  <si>
    <t>Pip Calculator Non USD Pairs (USD Account)</t>
  </si>
  <si>
    <t>Pips/ Value</t>
  </si>
  <si>
    <t>Value</t>
  </si>
  <si>
    <t>Total Margin 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</si>
</sst>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&quot;£&quot;#,##0.00"/>
    <numFmt numFmtId="166" formatCode="[$$-C09]#,##0.00"/>
    <numFmt numFmtId="167" formatCode="[$$-C09]#,##0"/>
    <numFmt numFmtId="168" formatCode="0.000"/>
    <numFmt numFmtId="169" formatCode="[$$-1004]#,##0"/>
  </numFmts>
  <fonts count="6" x14ac:knownFonts="1">
    <font>
      <sz val="10"/>
      <name val="Arial"/>
      <family val="2"/>
    </font>
    <font>
      <b/>
      <sz val="10"/>
      <name val="Arial"/>
      <family val="2"/>
    </font>
    <font>
      <sz val="9"/>
      <color rgb="FF757575"/>
      <name val="Arial"/>
      <family val="2"/>
    </font>
    <font>
      <sz val="9"/>
      <color rgb="FF3399FF"/>
      <name val="Arial"/>
      <family val="2"/>
    </font>
    <font>
      <b/>
      <u/>
      <sz val="16"/>
      <color theme="0"/>
      <name val="Arial"/>
      <family val="2"/>
    </font>
    <font>
      <b/>
      <sz val="10"/>
      <color theme="0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8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rgb="FFEDEDED"/>
      </top>
      <bottom style="mediumDashed">
        <color rgb="FF3399FF"/>
      </bottom>
      <diagonal/>
    </border>
    <border>
      <left/>
      <right/>
      <top style="medium">
        <color rgb="FFEDEDED"/>
      </top>
      <bottom/>
      <diagonal/>
    </border>
    <border>
      <left/>
      <right/>
      <top style="medium">
        <color rgb="FFE5E5E5"/>
      </top>
      <bottom style="mediumDashed">
        <color rgb="FF3399FF"/>
      </bottom>
      <diagonal/>
    </border>
    <border>
      <left/>
      <right/>
      <top style="medium">
        <color rgb="FFE5E5E5"/>
      </top>
      <bottom/>
      <diagonal/>
    </border>
    <border>
      <left/>
      <right/>
      <top style="medium">
        <color rgb="FFEDEDED"/>
      </top>
      <bottom style="medium">
        <color rgb="FFEDEDED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14999847407452621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14999847407452621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thin">
        <color theme="0" tint="-0.14999847407452621"/>
      </bottom>
      <diagonal/>
    </border>
    <border>
      <left/>
      <right/>
      <top style="medium">
        <color theme="0" tint="-0.499984740745262"/>
      </top>
      <bottom/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thin">
        <color theme="0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14999847407452621"/>
      </bottom>
      <diagonal/>
    </border>
    <border>
      <left style="medium">
        <color theme="0" tint="-0.499984740745262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theme="0" tint="-0.499984740745262"/>
      </left>
      <right/>
      <top style="thin">
        <color theme="0" tint="-0.14999847407452621"/>
      </top>
      <bottom style="medium">
        <color theme="0" tint="-0.499984740745262"/>
      </bottom>
      <diagonal/>
    </border>
    <border>
      <left style="thin">
        <color theme="0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249977111117893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249977111117893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249977111117893"/>
      </bottom>
      <diagonal/>
    </border>
    <border>
      <left/>
      <right style="medium">
        <color theme="0" tint="-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theme="0" tint="-0.499984740745262"/>
      </right>
      <top style="thin">
        <color theme="0" tint="-0.249977111117893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/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0" fillId="0" borderId="16" xfId="0" applyNumberFormat="1" applyFont="1" applyBorder="1" applyAlignment="1">
      <alignment horizontal="center" vertical="center"/>
    </xf>
    <xf numFmtId="165" fontId="0" fillId="0" borderId="17" xfId="0" applyNumberFormat="1" applyFont="1" applyBorder="1" applyAlignment="1">
      <alignment horizontal="center" vertical="center"/>
    </xf>
    <xf numFmtId="1" fontId="0" fillId="0" borderId="18" xfId="0" applyNumberFormat="1" applyFont="1" applyBorder="1" applyAlignment="1">
      <alignment horizontal="center"/>
    </xf>
    <xf numFmtId="1" fontId="0" fillId="0" borderId="16" xfId="0" applyNumberFormat="1" applyFont="1" applyBorder="1" applyAlignment="1">
      <alignment horizontal="center" vertical="center"/>
    </xf>
    <xf numFmtId="165" fontId="0" fillId="0" borderId="0" xfId="0" applyNumberFormat="1" applyBorder="1"/>
    <xf numFmtId="165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1" fillId="4" borderId="21" xfId="0" applyFont="1" applyFill="1" applyBorder="1" applyAlignment="1">
      <alignment horizontal="center"/>
    </xf>
    <xf numFmtId="165" fontId="1" fillId="4" borderId="0" xfId="0" applyNumberFormat="1" applyFont="1" applyFill="1" applyBorder="1" applyAlignment="1">
      <alignment horizontal="center"/>
    </xf>
    <xf numFmtId="165" fontId="1" fillId="4" borderId="0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/>
    </xf>
    <xf numFmtId="165" fontId="1" fillId="5" borderId="6" xfId="0" applyNumberFormat="1" applyFont="1" applyFill="1" applyBorder="1" applyAlignment="1">
      <alignment horizontal="center"/>
    </xf>
    <xf numFmtId="165" fontId="1" fillId="5" borderId="6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/>
    </xf>
    <xf numFmtId="0" fontId="0" fillId="6" borderId="16" xfId="0" applyFont="1" applyFill="1" applyBorder="1" applyAlignment="1">
      <alignment horizontal="center"/>
    </xf>
    <xf numFmtId="164" fontId="0" fillId="6" borderId="16" xfId="0" applyNumberFormat="1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5" fontId="0" fillId="4" borderId="0" xfId="0" applyNumberFormat="1" applyFill="1"/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0" borderId="29" xfId="0" applyNumberFormat="1" applyFont="1" applyBorder="1" applyAlignment="1">
      <alignment horizontal="center" vertical="center"/>
    </xf>
    <xf numFmtId="1" fontId="0" fillId="5" borderId="11" xfId="0" applyNumberFormat="1" applyFont="1" applyFill="1" applyBorder="1" applyAlignment="1">
      <alignment horizontal="center" vertical="center"/>
    </xf>
    <xf numFmtId="1" fontId="0" fillId="5" borderId="23" xfId="0" applyNumberFormat="1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/>
    </xf>
    <xf numFmtId="166" fontId="5" fillId="5" borderId="12" xfId="0" applyNumberFormat="1" applyFont="1" applyFill="1" applyBorder="1" applyAlignment="1">
      <alignment horizontal="center" vertical="center"/>
    </xf>
    <xf numFmtId="2" fontId="5" fillId="5" borderId="1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17" xfId="0" applyNumberFormat="1" applyFont="1" applyBorder="1" applyAlignment="1">
      <alignment horizontal="center" vertical="center"/>
    </xf>
    <xf numFmtId="0" fontId="0" fillId="4" borderId="0" xfId="0" applyFill="1" applyBorder="1"/>
    <xf numFmtId="0" fontId="1" fillId="4" borderId="0" xfId="0" applyFont="1" applyFill="1" applyBorder="1" applyAlignment="1">
      <alignment horizontal="center" vertical="center"/>
    </xf>
    <xf numFmtId="1" fontId="1" fillId="4" borderId="0" xfId="0" applyNumberFormat="1" applyFont="1" applyFill="1" applyBorder="1" applyAlignment="1">
      <alignment horizontal="center"/>
    </xf>
    <xf numFmtId="1" fontId="1" fillId="4" borderId="0" xfId="0" applyNumberFormat="1" applyFont="1" applyFill="1" applyBorder="1" applyAlignment="1">
      <alignment horizontal="center" vertical="center"/>
    </xf>
    <xf numFmtId="0" fontId="0" fillId="4" borderId="21" xfId="0" applyFill="1" applyBorder="1"/>
    <xf numFmtId="165" fontId="0" fillId="4" borderId="0" xfId="0" applyNumberFormat="1" applyFill="1" applyBorder="1"/>
    <xf numFmtId="165" fontId="0" fillId="4" borderId="0" xfId="0" applyNumberForma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1" fillId="5" borderId="8" xfId="0" applyFont="1" applyFill="1" applyBorder="1" applyAlignment="1"/>
    <xf numFmtId="1" fontId="1" fillId="4" borderId="0" xfId="0" applyNumberFormat="1" applyFont="1" applyFill="1" applyAlignment="1">
      <alignment horizontal="center"/>
    </xf>
    <xf numFmtId="0" fontId="0" fillId="4" borderId="0" xfId="0" applyFill="1" applyBorder="1" applyAlignment="1">
      <alignment horizontal="center" vertical="center"/>
    </xf>
    <xf numFmtId="1" fontId="0" fillId="0" borderId="12" xfId="0" applyNumberFormat="1" applyFont="1" applyBorder="1" applyAlignment="1">
      <alignment horizontal="center"/>
    </xf>
    <xf numFmtId="167" fontId="0" fillId="0" borderId="15" xfId="0" applyNumberFormat="1" applyFont="1" applyBorder="1" applyAlignment="1">
      <alignment horizontal="center"/>
    </xf>
    <xf numFmtId="167" fontId="0" fillId="0" borderId="18" xfId="0" applyNumberFormat="1" applyFont="1" applyBorder="1" applyAlignment="1">
      <alignment horizontal="center"/>
    </xf>
    <xf numFmtId="167" fontId="0" fillId="0" borderId="12" xfId="0" applyNumberFormat="1" applyFont="1" applyBorder="1" applyAlignment="1">
      <alignment horizontal="center"/>
    </xf>
    <xf numFmtId="167" fontId="0" fillId="0" borderId="11" xfId="0" applyNumberFormat="1" applyFont="1" applyBorder="1" applyAlignment="1">
      <alignment horizontal="center" vertical="center"/>
    </xf>
    <xf numFmtId="167" fontId="0" fillId="0" borderId="23" xfId="0" applyNumberFormat="1" applyFont="1" applyBorder="1" applyAlignment="1">
      <alignment horizontal="center" vertical="center"/>
    </xf>
    <xf numFmtId="167" fontId="0" fillId="0" borderId="12" xfId="0" applyNumberFormat="1" applyFont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1" fillId="4" borderId="31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1" fontId="0" fillId="4" borderId="0" xfId="0" applyNumberFormat="1" applyFont="1" applyFill="1" applyBorder="1" applyAlignment="1">
      <alignment horizontal="center" vertical="center"/>
    </xf>
    <xf numFmtId="0" fontId="0" fillId="0" borderId="3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0" fillId="4" borderId="33" xfId="0" applyFont="1" applyFill="1" applyBorder="1" applyAlignment="1">
      <alignment horizontal="center" vertical="center"/>
    </xf>
    <xf numFmtId="165" fontId="0" fillId="0" borderId="33" xfId="0" applyNumberFormat="1" applyFont="1" applyBorder="1" applyAlignment="1">
      <alignment horizontal="center" vertical="center"/>
    </xf>
    <xf numFmtId="165" fontId="0" fillId="4" borderId="33" xfId="0" applyNumberFormat="1" applyFont="1" applyFill="1" applyBorder="1" applyAlignment="1">
      <alignment horizontal="center" vertical="center"/>
    </xf>
    <xf numFmtId="1" fontId="0" fillId="0" borderId="36" xfId="0" applyNumberFormat="1" applyFont="1" applyBorder="1" applyAlignment="1">
      <alignment horizontal="center" vertical="center"/>
    </xf>
    <xf numFmtId="1" fontId="0" fillId="4" borderId="36" xfId="0" applyNumberFormat="1" applyFont="1" applyFill="1" applyBorder="1" applyAlignment="1">
      <alignment horizontal="center" vertical="center"/>
    </xf>
    <xf numFmtId="166" fontId="0" fillId="0" borderId="38" xfId="0" applyNumberFormat="1" applyFont="1" applyBorder="1" applyAlignment="1">
      <alignment horizontal="center" vertical="center"/>
    </xf>
    <xf numFmtId="166" fontId="0" fillId="0" borderId="39" xfId="0" applyNumberFormat="1" applyFont="1" applyBorder="1" applyAlignment="1">
      <alignment horizontal="center" vertical="center"/>
    </xf>
    <xf numFmtId="165" fontId="0" fillId="4" borderId="34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 wrapText="1"/>
    </xf>
    <xf numFmtId="167" fontId="0" fillId="4" borderId="33" xfId="0" applyNumberFormat="1" applyFont="1" applyFill="1" applyBorder="1" applyAlignment="1">
      <alignment horizontal="center" vertical="center"/>
    </xf>
    <xf numFmtId="167" fontId="0" fillId="4" borderId="33" xfId="0" applyNumberFormat="1" applyFont="1" applyFill="1" applyBorder="1" applyAlignment="1">
      <alignment horizontal="center" vertical="center" wrapText="1"/>
    </xf>
    <xf numFmtId="167" fontId="0" fillId="4" borderId="34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167" fontId="0" fillId="0" borderId="33" xfId="0" applyNumberFormat="1" applyFont="1" applyBorder="1" applyAlignment="1">
      <alignment horizontal="center" vertical="center"/>
    </xf>
    <xf numFmtId="166" fontId="0" fillId="4" borderId="39" xfId="0" applyNumberFormat="1" applyFont="1" applyFill="1" applyBorder="1" applyAlignment="1">
      <alignment horizontal="center" vertical="center"/>
    </xf>
    <xf numFmtId="166" fontId="0" fillId="4" borderId="40" xfId="0" applyNumberFormat="1" applyFont="1" applyFill="1" applyBorder="1" applyAlignment="1">
      <alignment horizontal="center" vertical="center"/>
    </xf>
    <xf numFmtId="166" fontId="0" fillId="0" borderId="40" xfId="0" applyNumberFormat="1" applyFont="1" applyBorder="1" applyAlignment="1">
      <alignment horizontal="center" vertical="center"/>
    </xf>
    <xf numFmtId="165" fontId="0" fillId="8" borderId="15" xfId="0" applyNumberFormat="1" applyFont="1" applyFill="1" applyBorder="1" applyAlignment="1">
      <alignment horizontal="center" vertical="center"/>
    </xf>
    <xf numFmtId="1" fontId="0" fillId="8" borderId="18" xfId="0" applyNumberFormat="1" applyFont="1" applyFill="1" applyBorder="1" applyAlignment="1">
      <alignment horizontal="center" vertical="center"/>
    </xf>
    <xf numFmtId="1" fontId="0" fillId="8" borderId="28" xfId="0" applyNumberFormat="1" applyFont="1" applyFill="1" applyBorder="1" applyAlignment="1">
      <alignment horizontal="center" vertical="center"/>
    </xf>
    <xf numFmtId="165" fontId="0" fillId="8" borderId="16" xfId="0" applyNumberFormat="1" applyFont="1" applyFill="1" applyBorder="1" applyAlignment="1">
      <alignment horizontal="center" vertical="center"/>
    </xf>
    <xf numFmtId="1" fontId="0" fillId="8" borderId="16" xfId="0" applyNumberFormat="1" applyFont="1" applyFill="1" applyBorder="1" applyAlignment="1">
      <alignment horizontal="center" vertical="center"/>
    </xf>
    <xf numFmtId="1" fontId="0" fillId="8" borderId="29" xfId="0" applyNumberFormat="1" applyFont="1" applyFill="1" applyBorder="1" applyAlignment="1">
      <alignment horizontal="center" vertical="center"/>
    </xf>
    <xf numFmtId="165" fontId="0" fillId="8" borderId="32" xfId="0" applyNumberFormat="1" applyFont="1" applyFill="1" applyBorder="1" applyAlignment="1">
      <alignment horizontal="center" vertical="center"/>
    </xf>
    <xf numFmtId="1" fontId="0" fillId="8" borderId="35" xfId="0" applyNumberFormat="1" applyFont="1" applyFill="1" applyBorder="1" applyAlignment="1">
      <alignment horizontal="center" vertical="center"/>
    </xf>
    <xf numFmtId="167" fontId="0" fillId="8" borderId="32" xfId="0" applyNumberFormat="1" applyFont="1" applyFill="1" applyBorder="1" applyAlignment="1">
      <alignment horizontal="center" vertical="center"/>
    </xf>
    <xf numFmtId="166" fontId="0" fillId="8" borderId="32" xfId="0" applyNumberFormat="1" applyFont="1" applyFill="1" applyBorder="1" applyAlignment="1">
      <alignment horizontal="center" vertical="center"/>
    </xf>
    <xf numFmtId="166" fontId="0" fillId="8" borderId="38" xfId="0" applyNumberFormat="1" applyFont="1" applyFill="1" applyBorder="1" applyAlignment="1">
      <alignment horizontal="center" vertical="center"/>
    </xf>
    <xf numFmtId="165" fontId="0" fillId="8" borderId="33" xfId="0" applyNumberFormat="1" applyFont="1" applyFill="1" applyBorder="1" applyAlignment="1">
      <alignment horizontal="center" vertical="center"/>
    </xf>
    <xf numFmtId="1" fontId="0" fillId="8" borderId="36" xfId="0" applyNumberFormat="1" applyFont="1" applyFill="1" applyBorder="1" applyAlignment="1">
      <alignment horizontal="center" vertical="center"/>
    </xf>
    <xf numFmtId="167" fontId="0" fillId="8" borderId="33" xfId="0" applyNumberFormat="1" applyFont="1" applyFill="1" applyBorder="1" applyAlignment="1">
      <alignment horizontal="center" vertical="center"/>
    </xf>
    <xf numFmtId="166" fontId="0" fillId="8" borderId="39" xfId="0" applyNumberFormat="1" applyFont="1" applyFill="1" applyBorder="1" applyAlignment="1">
      <alignment horizontal="center" vertical="center"/>
    </xf>
    <xf numFmtId="167" fontId="0" fillId="8" borderId="33" xfId="0" applyNumberFormat="1" applyFont="1" applyFill="1" applyBorder="1" applyAlignment="1">
      <alignment horizontal="center" vertical="center" wrapText="1"/>
    </xf>
    <xf numFmtId="165" fontId="1" fillId="5" borderId="6" xfId="0" applyNumberFormat="1" applyFont="1" applyFill="1" applyBorder="1" applyAlignment="1">
      <alignment horizontal="center" vertical="center" wrapText="1"/>
    </xf>
    <xf numFmtId="0" fontId="0" fillId="4" borderId="33" xfId="0" applyFont="1" applyFill="1" applyBorder="1" applyAlignment="1">
      <alignment horizontal="center" vertical="center" wrapText="1"/>
    </xf>
    <xf numFmtId="1" fontId="0" fillId="4" borderId="36" xfId="0" applyNumberFormat="1" applyFont="1" applyFill="1" applyBorder="1" applyAlignment="1">
      <alignment horizontal="center" vertical="center" wrapText="1"/>
    </xf>
    <xf numFmtId="1" fontId="0" fillId="8" borderId="36" xfId="0" applyNumberFormat="1" applyFont="1" applyFill="1" applyBorder="1" applyAlignment="1">
      <alignment horizontal="center" vertical="center" wrapText="1"/>
    </xf>
    <xf numFmtId="0" fontId="0" fillId="4" borderId="34" xfId="0" applyFont="1" applyFill="1" applyBorder="1" applyAlignment="1">
      <alignment horizontal="center" vertical="center"/>
    </xf>
    <xf numFmtId="1" fontId="0" fillId="4" borderId="37" xfId="0" applyNumberFormat="1" applyFont="1" applyFill="1" applyBorder="1" applyAlignment="1">
      <alignment horizontal="center" vertical="center"/>
    </xf>
    <xf numFmtId="166" fontId="0" fillId="8" borderId="40" xfId="0" applyNumberFormat="1" applyFont="1" applyFill="1" applyBorder="1" applyAlignment="1">
      <alignment horizontal="center" vertical="center"/>
    </xf>
    <xf numFmtId="1" fontId="0" fillId="8" borderId="15" xfId="0" applyNumberFormat="1" applyFont="1" applyFill="1" applyBorder="1" applyAlignment="1">
      <alignment horizontal="center"/>
    </xf>
    <xf numFmtId="1" fontId="0" fillId="8" borderId="18" xfId="0" applyNumberFormat="1" applyFont="1" applyFill="1" applyBorder="1" applyAlignment="1">
      <alignment horizontal="center"/>
    </xf>
    <xf numFmtId="1" fontId="0" fillId="0" borderId="30" xfId="0" applyNumberFormat="1" applyFont="1" applyBorder="1" applyAlignment="1">
      <alignment horizontal="center" vertical="center"/>
    </xf>
    <xf numFmtId="0" fontId="1" fillId="6" borderId="13" xfId="0" applyFont="1" applyFill="1" applyBorder="1" applyAlignment="1">
      <alignment horizontal="center"/>
    </xf>
    <xf numFmtId="0" fontId="1" fillId="6" borderId="27" xfId="0" applyFont="1" applyFill="1" applyBorder="1" applyAlignment="1">
      <alignment horizontal="center"/>
    </xf>
    <xf numFmtId="166" fontId="1" fillId="4" borderId="27" xfId="0" applyNumberFormat="1" applyFont="1" applyFill="1" applyBorder="1" applyAlignment="1">
      <alignment horizontal="center"/>
    </xf>
    <xf numFmtId="166" fontId="1" fillId="4" borderId="14" xfId="0" applyNumberFormat="1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168" fontId="0" fillId="6" borderId="15" xfId="0" applyNumberFormat="1" applyFont="1" applyFill="1" applyBorder="1" applyAlignment="1">
      <alignment horizontal="center"/>
    </xf>
    <xf numFmtId="168" fontId="0" fillId="6" borderId="16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5" borderId="8" xfId="0" applyFont="1" applyFill="1" applyBorder="1" applyAlignment="1">
      <alignment horizontal="center"/>
    </xf>
    <xf numFmtId="166" fontId="0" fillId="4" borderId="3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15" xfId="0" applyNumberFormat="1" applyFont="1" applyBorder="1" applyAlignment="1">
      <alignment horizontal="center" vertical="center"/>
    </xf>
    <xf numFmtId="168" fontId="0" fillId="6" borderId="17" xfId="0" applyNumberFormat="1" applyFont="1" applyFill="1" applyBorder="1" applyAlignment="1">
      <alignment horizontal="center"/>
    </xf>
    <xf numFmtId="164" fontId="1" fillId="4" borderId="0" xfId="0" applyNumberFormat="1" applyFont="1" applyFill="1" applyBorder="1" applyAlignment="1">
      <alignment horizontal="center"/>
    </xf>
    <xf numFmtId="1" fontId="0" fillId="4" borderId="0" xfId="0" applyNumberForma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166" fontId="0" fillId="8" borderId="15" xfId="0" applyNumberFormat="1" applyFont="1" applyFill="1" applyBorder="1" applyAlignment="1">
      <alignment horizontal="center"/>
    </xf>
    <xf numFmtId="166" fontId="0" fillId="0" borderId="16" xfId="0" applyNumberFormat="1" applyFont="1" applyBorder="1" applyAlignment="1">
      <alignment horizontal="center"/>
    </xf>
    <xf numFmtId="166" fontId="0" fillId="8" borderId="16" xfId="0" applyNumberFormat="1" applyFont="1" applyFill="1" applyBorder="1" applyAlignment="1">
      <alignment horizontal="center"/>
    </xf>
    <xf numFmtId="166" fontId="0" fillId="0" borderId="17" xfId="0" applyNumberFormat="1" applyFont="1" applyBorder="1" applyAlignment="1">
      <alignment horizontal="center"/>
    </xf>
    <xf numFmtId="169" fontId="0" fillId="8" borderId="15" xfId="0" applyNumberFormat="1" applyFont="1" applyFill="1" applyBorder="1" applyAlignment="1">
      <alignment horizontal="center"/>
    </xf>
    <xf numFmtId="169" fontId="0" fillId="0" borderId="18" xfId="0" applyNumberFormat="1" applyFont="1" applyBorder="1" applyAlignment="1">
      <alignment horizontal="center"/>
    </xf>
    <xf numFmtId="169" fontId="0" fillId="8" borderId="18" xfId="0" applyNumberFormat="1" applyFont="1" applyFill="1" applyBorder="1" applyAlignment="1">
      <alignment horizontal="center"/>
    </xf>
    <xf numFmtId="169" fontId="0" fillId="0" borderId="12" xfId="0" applyNumberFormat="1" applyFont="1" applyBorder="1" applyAlignment="1">
      <alignment horizontal="center"/>
    </xf>
    <xf numFmtId="0" fontId="0" fillId="8" borderId="32" xfId="0" applyNumberFormat="1" applyFont="1" applyFill="1" applyBorder="1" applyAlignment="1">
      <alignment horizontal="center" vertical="center"/>
    </xf>
    <xf numFmtId="0" fontId="0" fillId="0" borderId="33" xfId="0" applyNumberFormat="1" applyFont="1" applyBorder="1" applyAlignment="1">
      <alignment horizontal="center" vertical="center"/>
    </xf>
  </cellXfs>
  <cellStyles count="1">
    <cellStyle name="Normal" xfId="0" builtinId="0"/>
  </cellStyles>
  <dxfs count="7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999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CC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91"/>
  <sheetViews>
    <sheetView tabSelected="1" topLeftCell="A4" zoomScale="90" zoomScaleNormal="90" zoomScalePageLayoutView="60" workbookViewId="0">
      <selection activeCell="K41" sqref="K41"/>
    </sheetView>
  </sheetViews>
  <sheetFormatPr defaultRowHeight="12.75" x14ac:dyDescent="0.2"/>
  <cols>
    <col min="1" max="1" width="11.5703125" style="42"/>
    <col min="2" max="2" width="19.28515625" style="42" customWidth="1"/>
    <col min="3" max="3" width="7.5703125" customWidth="1"/>
    <col min="4" max="4" width="12.28515625" style="2" customWidth="1"/>
    <col min="5" max="5" width="12" style="12" bestFit="1" customWidth="1"/>
    <col min="6" max="6" width="11.5703125" style="1"/>
    <col min="7" max="7" width="9.140625" hidden="1" customWidth="1"/>
    <col min="8" max="8" width="10.42578125" style="13" bestFit="1" customWidth="1"/>
    <col min="9" max="9" width="10.42578125" hidden="1" customWidth="1"/>
    <col min="10" max="10" width="10.42578125" style="1" bestFit="1" customWidth="1"/>
    <col min="11" max="11" width="11.5703125" style="42"/>
    <col min="12" max="12" width="11" style="42" bestFit="1" customWidth="1"/>
    <col min="13" max="13" width="12.42578125" style="42" customWidth="1"/>
    <col min="14" max="14" width="11" style="42" bestFit="1" customWidth="1"/>
    <col min="15" max="15" width="11.5703125" style="42"/>
    <col min="16" max="16" width="9.140625" style="42" hidden="1" customWidth="1"/>
    <col min="17" max="17" width="11.5703125" style="42"/>
    <col min="18" max="18" width="9.140625" style="42" hidden="1" customWidth="1"/>
    <col min="19" max="20" width="11.5703125" style="42"/>
    <col min="21" max="21" width="11.5703125"/>
    <col min="22" max="22" width="13.85546875" customWidth="1"/>
    <col min="23" max="24" width="11.5703125"/>
    <col min="25" max="25" width="9.140625" hidden="1" customWidth="1"/>
    <col min="26" max="26" width="11.5703125"/>
    <col min="27" max="27" width="12.5703125" hidden="1" customWidth="1"/>
    <col min="28" max="28" width="11.5703125" style="163"/>
    <col min="29" max="39" width="11.5703125" style="42"/>
    <col min="40" max="1018" width="11.5703125"/>
  </cols>
  <sheetData>
    <row r="1" spans="3:28" s="42" customFormat="1" ht="9.75" customHeight="1" x14ac:dyDescent="0.2">
      <c r="D1" s="45"/>
      <c r="E1" s="46"/>
      <c r="F1" s="47"/>
      <c r="H1" s="75"/>
      <c r="J1" s="47"/>
      <c r="AB1" s="160"/>
    </row>
    <row r="2" spans="3:28" s="42" customFormat="1" x14ac:dyDescent="0.2">
      <c r="D2" s="45"/>
      <c r="E2" s="46"/>
      <c r="F2" s="47"/>
      <c r="H2" s="75"/>
      <c r="J2" s="47"/>
      <c r="AB2" s="160"/>
    </row>
    <row r="3" spans="3:28" s="42" customFormat="1" x14ac:dyDescent="0.2">
      <c r="D3" s="45"/>
      <c r="E3" s="46"/>
      <c r="F3" s="47"/>
      <c r="H3" s="75"/>
      <c r="J3" s="47"/>
      <c r="AB3" s="160"/>
    </row>
    <row r="4" spans="3:28" s="42" customFormat="1" ht="13.5" thickBot="1" x14ac:dyDescent="0.25">
      <c r="D4" s="45"/>
      <c r="E4" s="46"/>
      <c r="F4" s="47"/>
      <c r="H4" s="75"/>
      <c r="J4" s="47"/>
      <c r="AB4" s="160"/>
    </row>
    <row r="5" spans="3:28" ht="12.75" customHeight="1" x14ac:dyDescent="0.2">
      <c r="C5" s="130" t="s">
        <v>47</v>
      </c>
      <c r="D5" s="131"/>
      <c r="E5" s="131"/>
      <c r="F5" s="131"/>
      <c r="G5" s="131"/>
      <c r="H5" s="131"/>
      <c r="I5" s="131"/>
      <c r="J5" s="132"/>
      <c r="L5" s="130" t="s">
        <v>47</v>
      </c>
      <c r="M5" s="131"/>
      <c r="N5" s="131"/>
      <c r="O5" s="131"/>
      <c r="P5" s="131"/>
      <c r="Q5" s="131"/>
      <c r="R5" s="131"/>
      <c r="S5" s="132"/>
      <c r="U5" s="130" t="s">
        <v>47</v>
      </c>
      <c r="V5" s="131"/>
      <c r="W5" s="131"/>
      <c r="X5" s="131"/>
      <c r="Y5" s="131"/>
      <c r="Z5" s="131"/>
      <c r="AA5" s="131"/>
      <c r="AB5" s="132"/>
    </row>
    <row r="6" spans="3:28" ht="13.5" customHeight="1" thickBot="1" x14ac:dyDescent="0.25">
      <c r="C6" s="133"/>
      <c r="D6" s="134"/>
      <c r="E6" s="134"/>
      <c r="F6" s="134"/>
      <c r="G6" s="134"/>
      <c r="H6" s="134"/>
      <c r="I6" s="134"/>
      <c r="J6" s="135"/>
      <c r="L6" s="133"/>
      <c r="M6" s="134"/>
      <c r="N6" s="134"/>
      <c r="O6" s="134"/>
      <c r="P6" s="134"/>
      <c r="Q6" s="134"/>
      <c r="R6" s="134"/>
      <c r="S6" s="135"/>
      <c r="U6" s="133"/>
      <c r="V6" s="134"/>
      <c r="W6" s="134"/>
      <c r="X6" s="134"/>
      <c r="Y6" s="134"/>
      <c r="Z6" s="134"/>
      <c r="AA6" s="134"/>
      <c r="AB6" s="135"/>
    </row>
    <row r="7" spans="3:28" ht="25.5" customHeight="1" x14ac:dyDescent="0.2">
      <c r="C7" s="136" t="s">
        <v>38</v>
      </c>
      <c r="D7" s="137"/>
      <c r="E7" s="140" t="s">
        <v>39</v>
      </c>
      <c r="F7" s="136" t="s">
        <v>43</v>
      </c>
      <c r="G7" s="142"/>
      <c r="H7" s="142"/>
      <c r="I7" s="142"/>
      <c r="J7" s="137"/>
      <c r="L7" s="136" t="s">
        <v>38</v>
      </c>
      <c r="M7" s="137"/>
      <c r="N7" s="140" t="s">
        <v>39</v>
      </c>
      <c r="O7" s="136" t="s">
        <v>43</v>
      </c>
      <c r="P7" s="142"/>
      <c r="Q7" s="142"/>
      <c r="R7" s="142"/>
      <c r="S7" s="137"/>
      <c r="U7" s="136" t="s">
        <v>38</v>
      </c>
      <c r="V7" s="137"/>
      <c r="W7" s="140" t="s">
        <v>39</v>
      </c>
      <c r="X7" s="136" t="s">
        <v>43</v>
      </c>
      <c r="Y7" s="142"/>
      <c r="Z7" s="142"/>
      <c r="AA7" s="142"/>
      <c r="AB7" s="137"/>
    </row>
    <row r="8" spans="3:28" ht="13.5" thickBot="1" x14ac:dyDescent="0.25">
      <c r="C8" s="138"/>
      <c r="D8" s="139"/>
      <c r="E8" s="141"/>
      <c r="F8" s="138"/>
      <c r="G8" s="143"/>
      <c r="H8" s="143"/>
      <c r="I8" s="143"/>
      <c r="J8" s="139"/>
      <c r="L8" s="138"/>
      <c r="M8" s="139"/>
      <c r="N8" s="141"/>
      <c r="O8" s="138"/>
      <c r="P8" s="143"/>
      <c r="Q8" s="143"/>
      <c r="R8" s="143"/>
      <c r="S8" s="139"/>
      <c r="U8" s="138"/>
      <c r="V8" s="139"/>
      <c r="W8" s="141"/>
      <c r="X8" s="138"/>
      <c r="Y8" s="143"/>
      <c r="Z8" s="143"/>
      <c r="AA8" s="143"/>
      <c r="AB8" s="139"/>
    </row>
    <row r="9" spans="3:28" ht="3" customHeight="1" thickBot="1" x14ac:dyDescent="0.25">
      <c r="C9" s="27"/>
      <c r="D9" s="29"/>
      <c r="E9" s="30"/>
      <c r="F9" s="30"/>
      <c r="G9" s="29"/>
      <c r="H9" s="89"/>
      <c r="I9" s="29"/>
      <c r="J9" s="28"/>
      <c r="L9" s="27"/>
      <c r="M9" s="29"/>
      <c r="N9" s="30"/>
      <c r="O9" s="30"/>
      <c r="P9" s="29"/>
      <c r="Q9" s="89"/>
      <c r="R9" s="29"/>
      <c r="S9" s="28"/>
      <c r="U9" s="27"/>
      <c r="V9" s="29"/>
      <c r="W9" s="30"/>
      <c r="X9" s="30"/>
      <c r="Y9" s="29"/>
      <c r="Z9" s="89"/>
      <c r="AA9" s="29"/>
      <c r="AB9" s="28"/>
    </row>
    <row r="10" spans="3:28" x14ac:dyDescent="0.2">
      <c r="C10" s="144" t="s">
        <v>37</v>
      </c>
      <c r="D10" s="145"/>
      <c r="E10" s="148">
        <f>VLOOKUP(C10,'2'!$B$5:$C$40,2,0)</f>
        <v>360.3</v>
      </c>
      <c r="F10" s="150">
        <f>VLOOKUP(C10,'2'!$B$5:$D$40,3,0)</f>
        <v>5.04</v>
      </c>
      <c r="G10" s="151"/>
      <c r="H10" s="151"/>
      <c r="I10" s="151"/>
      <c r="J10" s="152"/>
      <c r="L10" s="144" t="s">
        <v>34</v>
      </c>
      <c r="M10" s="145"/>
      <c r="N10" s="148">
        <f>VLOOKUP(L10,'2'!$B$5:$C$40,2,0)</f>
        <v>695.15</v>
      </c>
      <c r="O10" s="150">
        <f>VLOOKUP(L10,'2'!$B$5:$D$40,3,0)</f>
        <v>9.73</v>
      </c>
      <c r="P10" s="151"/>
      <c r="Q10" s="151"/>
      <c r="R10" s="151"/>
      <c r="S10" s="152"/>
      <c r="U10" s="144" t="s">
        <v>4</v>
      </c>
      <c r="V10" s="145"/>
      <c r="W10" s="148">
        <f>VLOOKUP(U10,'2'!$B$5:$C$40,2,0)</f>
        <v>360.3</v>
      </c>
      <c r="X10" s="150">
        <f>VLOOKUP(U10,'2'!$B$5:$D$40,3,0)</f>
        <v>5.04</v>
      </c>
      <c r="Y10" s="151"/>
      <c r="Z10" s="151"/>
      <c r="AA10" s="151"/>
      <c r="AB10" s="152"/>
    </row>
    <row r="11" spans="3:28" ht="13.5" thickBot="1" x14ac:dyDescent="0.25">
      <c r="C11" s="146"/>
      <c r="D11" s="147"/>
      <c r="E11" s="149"/>
      <c r="F11" s="153"/>
      <c r="G11" s="154"/>
      <c r="H11" s="154"/>
      <c r="I11" s="154"/>
      <c r="J11" s="155"/>
      <c r="L11" s="146"/>
      <c r="M11" s="147"/>
      <c r="N11" s="149"/>
      <c r="O11" s="153"/>
      <c r="P11" s="154"/>
      <c r="Q11" s="154"/>
      <c r="R11" s="154"/>
      <c r="S11" s="155"/>
      <c r="U11" s="146"/>
      <c r="V11" s="147"/>
      <c r="W11" s="149"/>
      <c r="X11" s="153"/>
      <c r="Y11" s="154"/>
      <c r="Z11" s="154"/>
      <c r="AA11" s="154"/>
      <c r="AB11" s="155"/>
    </row>
    <row r="12" spans="3:28" ht="13.5" thickBot="1" x14ac:dyDescent="0.25">
      <c r="C12" s="22"/>
      <c r="D12" s="23"/>
      <c r="E12" s="24"/>
      <c r="F12" s="58"/>
      <c r="G12" s="25"/>
      <c r="H12" s="77"/>
      <c r="I12" s="25"/>
      <c r="J12" s="26"/>
      <c r="L12" s="22"/>
      <c r="M12" s="23"/>
      <c r="N12" s="24"/>
      <c r="O12" s="58"/>
      <c r="P12" s="25"/>
      <c r="Q12" s="77"/>
      <c r="R12" s="25"/>
      <c r="S12" s="26"/>
      <c r="U12" s="22"/>
      <c r="V12" s="23"/>
      <c r="W12" s="24"/>
      <c r="X12" s="58"/>
      <c r="Y12" s="25"/>
      <c r="Z12" s="77"/>
      <c r="AA12" s="25"/>
      <c r="AB12" s="26"/>
    </row>
    <row r="13" spans="3:28" ht="13.5" thickBot="1" x14ac:dyDescent="0.25">
      <c r="C13" s="128" t="s">
        <v>52</v>
      </c>
      <c r="D13" s="129"/>
      <c r="E13" s="156"/>
      <c r="F13" s="129"/>
      <c r="G13" s="129"/>
      <c r="H13" s="129"/>
      <c r="I13" s="129"/>
      <c r="J13" s="157"/>
      <c r="L13" s="128" t="s">
        <v>52</v>
      </c>
      <c r="M13" s="129"/>
      <c r="N13" s="156"/>
      <c r="O13" s="129"/>
      <c r="P13" s="129"/>
      <c r="Q13" s="129"/>
      <c r="R13" s="129"/>
      <c r="S13" s="157"/>
      <c r="U13" s="128" t="s">
        <v>52</v>
      </c>
      <c r="V13" s="129"/>
      <c r="W13" s="156"/>
      <c r="X13" s="129"/>
      <c r="Y13" s="129"/>
      <c r="Z13" s="129"/>
      <c r="AA13" s="129"/>
      <c r="AB13" s="157"/>
    </row>
    <row r="14" spans="3:28" ht="13.5" thickBot="1" x14ac:dyDescent="0.25">
      <c r="C14" s="128" t="s">
        <v>50</v>
      </c>
      <c r="D14" s="129"/>
      <c r="E14" s="54">
        <v>10</v>
      </c>
      <c r="F14" s="129" t="s">
        <v>51</v>
      </c>
      <c r="G14" s="129"/>
      <c r="H14" s="129"/>
      <c r="I14" s="129"/>
      <c r="J14" s="157"/>
      <c r="L14" s="128" t="s">
        <v>50</v>
      </c>
      <c r="M14" s="129"/>
      <c r="N14" s="54">
        <v>10</v>
      </c>
      <c r="O14" s="129" t="s">
        <v>51</v>
      </c>
      <c r="P14" s="129"/>
      <c r="Q14" s="129"/>
      <c r="R14" s="129"/>
      <c r="S14" s="157"/>
      <c r="U14" s="128" t="s">
        <v>50</v>
      </c>
      <c r="V14" s="129"/>
      <c r="W14" s="54">
        <v>10</v>
      </c>
      <c r="X14" s="129" t="s">
        <v>51</v>
      </c>
      <c r="Y14" s="129"/>
      <c r="Z14" s="129"/>
      <c r="AA14" s="129"/>
      <c r="AB14" s="157"/>
    </row>
    <row r="15" spans="3:28" ht="13.5" thickBot="1" x14ac:dyDescent="0.25">
      <c r="C15" s="124"/>
      <c r="D15" s="125"/>
      <c r="E15" s="53" t="e">
        <f>1/C15</f>
        <v>#DIV/0!</v>
      </c>
      <c r="F15" s="126" t="e">
        <f>10/E15</f>
        <v>#DIV/0!</v>
      </c>
      <c r="G15" s="126"/>
      <c r="H15" s="126"/>
      <c r="I15" s="126"/>
      <c r="J15" s="127"/>
      <c r="L15" s="124">
        <v>1.78512</v>
      </c>
      <c r="M15" s="125"/>
      <c r="N15" s="53">
        <f>1/L15</f>
        <v>0.56018643004391855</v>
      </c>
      <c r="O15" s="126">
        <f>10/N15</f>
        <v>17.851200000000002</v>
      </c>
      <c r="P15" s="126"/>
      <c r="Q15" s="126"/>
      <c r="R15" s="126"/>
      <c r="S15" s="127"/>
      <c r="U15" s="124">
        <v>1.2619</v>
      </c>
      <c r="V15" s="125"/>
      <c r="W15" s="53">
        <f>1/U15</f>
        <v>0.79245582058800224</v>
      </c>
      <c r="X15" s="126">
        <f>10/W15</f>
        <v>12.619</v>
      </c>
      <c r="Y15" s="126"/>
      <c r="Z15" s="126"/>
      <c r="AA15" s="126"/>
      <c r="AB15" s="127"/>
    </row>
    <row r="16" spans="3:28" ht="13.5" thickBot="1" x14ac:dyDescent="0.25">
      <c r="C16" s="22"/>
      <c r="D16" s="23"/>
      <c r="E16" s="24"/>
      <c r="F16" s="58"/>
      <c r="G16" s="25"/>
      <c r="H16" s="77"/>
      <c r="I16" s="25"/>
      <c r="J16" s="26"/>
      <c r="L16" s="22"/>
      <c r="M16" s="23"/>
      <c r="N16" s="24"/>
      <c r="O16" s="58"/>
      <c r="P16" s="25"/>
      <c r="Q16" s="77"/>
      <c r="R16" s="25"/>
      <c r="S16" s="26"/>
      <c r="U16" s="22"/>
      <c r="V16" s="23"/>
      <c r="W16" s="24"/>
      <c r="X16" s="58"/>
      <c r="Y16" s="25"/>
      <c r="Z16" s="77"/>
      <c r="AA16" s="25"/>
      <c r="AB16" s="26"/>
    </row>
    <row r="17" spans="1:28" ht="13.5" thickBot="1" x14ac:dyDescent="0.25">
      <c r="C17" s="22"/>
      <c r="D17" s="23"/>
      <c r="E17" s="24"/>
      <c r="F17" s="36" t="s">
        <v>1</v>
      </c>
      <c r="G17" s="33"/>
      <c r="H17" s="36" t="s">
        <v>0</v>
      </c>
      <c r="I17" s="33"/>
      <c r="J17" s="36"/>
      <c r="L17" s="22"/>
      <c r="M17" s="23"/>
      <c r="N17" s="24"/>
      <c r="O17" s="36" t="s">
        <v>1</v>
      </c>
      <c r="P17" s="33"/>
      <c r="Q17" s="36" t="s">
        <v>0</v>
      </c>
      <c r="R17" s="33"/>
      <c r="S17" s="36"/>
      <c r="U17" s="22"/>
      <c r="V17" s="23"/>
      <c r="W17" s="24"/>
      <c r="X17" s="36" t="s">
        <v>1</v>
      </c>
      <c r="Y17" s="33"/>
      <c r="Z17" s="36" t="s">
        <v>0</v>
      </c>
      <c r="AA17" s="33"/>
      <c r="AB17" s="36"/>
    </row>
    <row r="18" spans="1:28" ht="3" customHeight="1" thickBot="1" x14ac:dyDescent="0.25">
      <c r="C18" s="27"/>
      <c r="D18" s="29"/>
      <c r="E18" s="31"/>
      <c r="F18" s="30"/>
      <c r="G18" s="29"/>
      <c r="H18" s="89"/>
      <c r="I18" s="29"/>
      <c r="J18" s="28"/>
      <c r="L18" s="27"/>
      <c r="M18" s="29"/>
      <c r="N18" s="31"/>
      <c r="O18" s="30"/>
      <c r="P18" s="29"/>
      <c r="Q18" s="89"/>
      <c r="R18" s="29"/>
      <c r="S18" s="28"/>
      <c r="U18" s="27"/>
      <c r="V18" s="29"/>
      <c r="W18" s="31"/>
      <c r="X18" s="30"/>
      <c r="Y18" s="29"/>
      <c r="Z18" s="89"/>
      <c r="AA18" s="29"/>
      <c r="AB18" s="28"/>
    </row>
    <row r="19" spans="1:28" ht="13.5" thickBot="1" x14ac:dyDescent="0.25">
      <c r="C19" s="22"/>
      <c r="D19" s="23"/>
      <c r="E19" s="24"/>
      <c r="F19" s="128" t="s">
        <v>53</v>
      </c>
      <c r="G19" s="129"/>
      <c r="H19" s="129"/>
      <c r="I19" s="129"/>
      <c r="J19" s="65"/>
      <c r="L19" s="22"/>
      <c r="M19" s="23"/>
      <c r="N19" s="24"/>
      <c r="O19" s="128" t="s">
        <v>53</v>
      </c>
      <c r="P19" s="129"/>
      <c r="Q19" s="129"/>
      <c r="R19" s="129"/>
      <c r="S19" s="65"/>
      <c r="U19" s="22"/>
      <c r="V19" s="23"/>
      <c r="W19" s="24"/>
      <c r="X19" s="128" t="s">
        <v>53</v>
      </c>
      <c r="Y19" s="129"/>
      <c r="Z19" s="129"/>
      <c r="AA19" s="129"/>
      <c r="AB19" s="161"/>
    </row>
    <row r="20" spans="1:28" ht="13.5" thickBot="1" x14ac:dyDescent="0.25">
      <c r="C20" s="33" t="s">
        <v>42</v>
      </c>
      <c r="D20" s="34" t="s">
        <v>40</v>
      </c>
      <c r="E20" s="35" t="s">
        <v>39</v>
      </c>
      <c r="F20" s="41">
        <v>20</v>
      </c>
      <c r="G20" s="33" t="s">
        <v>54</v>
      </c>
      <c r="H20" s="41">
        <v>25</v>
      </c>
      <c r="I20" s="33" t="s">
        <v>54</v>
      </c>
      <c r="J20" s="36"/>
      <c r="L20" s="33" t="s">
        <v>42</v>
      </c>
      <c r="M20" s="34" t="s">
        <v>40</v>
      </c>
      <c r="N20" s="35" t="s">
        <v>39</v>
      </c>
      <c r="O20" s="41">
        <v>33</v>
      </c>
      <c r="P20" s="33" t="s">
        <v>54</v>
      </c>
      <c r="Q20" s="41">
        <v>38</v>
      </c>
      <c r="R20" s="33" t="s">
        <v>54</v>
      </c>
      <c r="S20" s="36"/>
      <c r="U20" s="33" t="s">
        <v>42</v>
      </c>
      <c r="V20" s="34" t="s">
        <v>40</v>
      </c>
      <c r="W20" s="35" t="s">
        <v>39</v>
      </c>
      <c r="X20" s="41">
        <v>32</v>
      </c>
      <c r="Y20" s="33" t="s">
        <v>54</v>
      </c>
      <c r="Z20" s="41">
        <v>37</v>
      </c>
      <c r="AA20" s="33" t="s">
        <v>54</v>
      </c>
      <c r="AB20" s="36"/>
    </row>
    <row r="21" spans="1:28" ht="3" customHeight="1" thickBot="1" x14ac:dyDescent="0.25">
      <c r="C21" s="27"/>
      <c r="D21" s="29"/>
      <c r="E21" s="32"/>
      <c r="F21" s="30"/>
      <c r="G21" s="29"/>
      <c r="H21" s="89"/>
      <c r="I21" s="29"/>
      <c r="J21" s="28"/>
      <c r="L21" s="27"/>
      <c r="M21" s="29"/>
      <c r="N21" s="32"/>
      <c r="O21" s="30"/>
      <c r="P21" s="29"/>
      <c r="Q21" s="89"/>
      <c r="R21" s="29"/>
      <c r="S21" s="28"/>
      <c r="U21" s="27"/>
      <c r="V21" s="29"/>
      <c r="W21" s="32"/>
      <c r="X21" s="30"/>
      <c r="Y21" s="29"/>
      <c r="Z21" s="89"/>
      <c r="AA21" s="29"/>
      <c r="AB21" s="28"/>
    </row>
    <row r="22" spans="1:28" x14ac:dyDescent="0.2">
      <c r="A22" s="43"/>
      <c r="C22" s="37">
        <v>1</v>
      </c>
      <c r="D22" s="169">
        <f>C22*$F$10</f>
        <v>5.04</v>
      </c>
      <c r="E22" s="98">
        <f>C22*$E$10</f>
        <v>360.3</v>
      </c>
      <c r="F22" s="99">
        <f>C22*$F$20</f>
        <v>20</v>
      </c>
      <c r="G22" s="173">
        <f>F22*$E$14-D22</f>
        <v>194.96</v>
      </c>
      <c r="H22" s="100">
        <f t="shared" ref="H22:H32" si="0">C22*$H$20</f>
        <v>25</v>
      </c>
      <c r="I22" s="72">
        <f>H22*$E$14</f>
        <v>250</v>
      </c>
      <c r="J22" s="49"/>
      <c r="L22" s="37">
        <v>0.45</v>
      </c>
      <c r="M22" s="169">
        <f>L22*$O$10</f>
        <v>4.3785000000000007</v>
      </c>
      <c r="N22" s="169">
        <f>L22*$N$10</f>
        <v>312.8175</v>
      </c>
      <c r="O22" s="99">
        <f>L22*$O$20</f>
        <v>14.85</v>
      </c>
      <c r="P22" s="121">
        <f>O22*$E$14-M22</f>
        <v>144.1215</v>
      </c>
      <c r="Q22" s="100">
        <f>L22*$Q$20</f>
        <v>17.100000000000001</v>
      </c>
      <c r="R22" s="72">
        <f>Q22*$E$14</f>
        <v>171</v>
      </c>
      <c r="S22" s="49"/>
      <c r="U22" s="158">
        <f>L22/2</f>
        <v>0.22500000000000001</v>
      </c>
      <c r="V22" s="169">
        <f>U22*$F$10</f>
        <v>1.1340000000000001</v>
      </c>
      <c r="W22" s="169">
        <f>U22*$W$10</f>
        <v>81.06750000000001</v>
      </c>
      <c r="X22" s="164">
        <f>U22*$X$20</f>
        <v>7.2</v>
      </c>
      <c r="Y22" s="69">
        <f>X22*$E$14-V22</f>
        <v>70.866</v>
      </c>
      <c r="Z22" s="164">
        <f>U22*$Z$20</f>
        <v>8.3250000000000011</v>
      </c>
      <c r="AA22" s="72">
        <f>Z22*$E$14</f>
        <v>83.250000000000014</v>
      </c>
      <c r="AB22" s="49"/>
    </row>
    <row r="23" spans="1:28" x14ac:dyDescent="0.2">
      <c r="A23" s="43"/>
      <c r="C23" s="38">
        <v>1.4</v>
      </c>
      <c r="D23" s="170">
        <f t="shared" ref="D23:D41" si="1">C23*$F$10</f>
        <v>7.0559999999999992</v>
      </c>
      <c r="E23" s="14">
        <f t="shared" ref="E23:E41" si="2">C23*$E$10</f>
        <v>504.41999999999996</v>
      </c>
      <c r="F23" s="17">
        <f t="shared" ref="F23:F41" si="3">C23*$F$20</f>
        <v>28</v>
      </c>
      <c r="G23" s="174">
        <f t="shared" ref="G23:G41" si="4">F23*$E$14-D23</f>
        <v>272.94400000000002</v>
      </c>
      <c r="H23" s="48">
        <f t="shared" si="0"/>
        <v>35</v>
      </c>
      <c r="I23" s="73">
        <f>H23*$E$14</f>
        <v>350</v>
      </c>
      <c r="J23" s="50"/>
      <c r="L23" s="38">
        <v>0.66500000000000004</v>
      </c>
      <c r="M23" s="170">
        <f>L23*$O$10</f>
        <v>6.4704500000000005</v>
      </c>
      <c r="N23" s="170">
        <f>L23*$N$10</f>
        <v>462.27474999999998</v>
      </c>
      <c r="O23" s="17">
        <f>L23*$O$20</f>
        <v>21.945</v>
      </c>
      <c r="P23" s="16">
        <f t="shared" ref="P23:P41" si="5">O23*$E$14-M23</f>
        <v>212.97954999999999</v>
      </c>
      <c r="Q23" s="48">
        <f>L23*$Q$20</f>
        <v>25.270000000000003</v>
      </c>
      <c r="R23" s="73">
        <f>Q23*$E$14</f>
        <v>252.70000000000005</v>
      </c>
      <c r="S23" s="50"/>
      <c r="U23" s="159">
        <f>L23/2</f>
        <v>0.33250000000000002</v>
      </c>
      <c r="V23" s="170">
        <f t="shared" ref="V23:V41" si="6">U23*$F$10</f>
        <v>1.6758000000000002</v>
      </c>
      <c r="W23" s="170">
        <f>U23*$W$10</f>
        <v>119.79975000000002</v>
      </c>
      <c r="X23" s="17">
        <f>U23*$X$20</f>
        <v>10.64</v>
      </c>
      <c r="Y23" s="70">
        <f t="shared" ref="Y23:Y41" si="7">X23*$E$14-V23</f>
        <v>104.72420000000001</v>
      </c>
      <c r="Z23" s="17">
        <f>U23*$Z$20</f>
        <v>12.3025</v>
      </c>
      <c r="AA23" s="73">
        <f>Z23*$E$14</f>
        <v>123.02500000000001</v>
      </c>
      <c r="AB23" s="50"/>
    </row>
    <row r="24" spans="1:28" x14ac:dyDescent="0.2">
      <c r="A24" s="43"/>
      <c r="C24" s="38">
        <v>1</v>
      </c>
      <c r="D24" s="171">
        <f t="shared" si="1"/>
        <v>5.04</v>
      </c>
      <c r="E24" s="101">
        <f t="shared" si="2"/>
        <v>360.3</v>
      </c>
      <c r="F24" s="102">
        <f t="shared" si="3"/>
        <v>20</v>
      </c>
      <c r="G24" s="175">
        <f t="shared" si="4"/>
        <v>194.96</v>
      </c>
      <c r="H24" s="103">
        <f t="shared" si="0"/>
        <v>25</v>
      </c>
      <c r="I24" s="73">
        <f t="shared" ref="I24:I41" si="8">H24*$E$14</f>
        <v>250</v>
      </c>
      <c r="J24" s="50"/>
      <c r="L24" s="38">
        <v>0.45</v>
      </c>
      <c r="M24" s="171">
        <f t="shared" ref="M24:M41" si="9">L24*$O$10</f>
        <v>4.3785000000000007</v>
      </c>
      <c r="N24" s="171">
        <f t="shared" ref="N24:N41" si="10">L24*$N$10</f>
        <v>312.8175</v>
      </c>
      <c r="O24" s="102">
        <f t="shared" ref="O24:O41" si="11">L24*$O$20</f>
        <v>14.85</v>
      </c>
      <c r="P24" s="122">
        <f t="shared" si="5"/>
        <v>144.1215</v>
      </c>
      <c r="Q24" s="103">
        <f t="shared" ref="Q24:Q41" si="12">L24*$Q$20</f>
        <v>17.100000000000001</v>
      </c>
      <c r="R24" s="73">
        <f t="shared" ref="R24:R41" si="13">Q24*$E$14</f>
        <v>171</v>
      </c>
      <c r="S24" s="50"/>
      <c r="U24" s="159">
        <f t="shared" ref="U24:U41" si="14">L24/2</f>
        <v>0.22500000000000001</v>
      </c>
      <c r="V24" s="171">
        <f t="shared" si="6"/>
        <v>1.1340000000000001</v>
      </c>
      <c r="W24" s="171">
        <f t="shared" ref="W24:W41" si="15">U24*$W$10</f>
        <v>81.06750000000001</v>
      </c>
      <c r="X24" s="17">
        <f t="shared" ref="X24:X41" si="16">U24*$X$20</f>
        <v>7.2</v>
      </c>
      <c r="Y24" s="70">
        <f t="shared" si="7"/>
        <v>70.866</v>
      </c>
      <c r="Z24" s="17">
        <f t="shared" ref="Z24:Z41" si="17">U24*$Z$20</f>
        <v>8.3250000000000011</v>
      </c>
      <c r="AA24" s="73">
        <f t="shared" ref="AA24:AA41" si="18">Z24*$E$14</f>
        <v>83.250000000000014</v>
      </c>
      <c r="AB24" s="50"/>
    </row>
    <row r="25" spans="1:28" x14ac:dyDescent="0.2">
      <c r="A25" s="66"/>
      <c r="C25" s="38">
        <v>1.4</v>
      </c>
      <c r="D25" s="170">
        <f t="shared" si="1"/>
        <v>7.0559999999999992</v>
      </c>
      <c r="E25" s="14">
        <f t="shared" si="2"/>
        <v>504.41999999999996</v>
      </c>
      <c r="F25" s="17">
        <f t="shared" si="3"/>
        <v>28</v>
      </c>
      <c r="G25" s="174">
        <f t="shared" si="4"/>
        <v>272.94400000000002</v>
      </c>
      <c r="H25" s="48">
        <f t="shared" si="0"/>
        <v>35</v>
      </c>
      <c r="I25" s="73">
        <f t="shared" si="8"/>
        <v>350</v>
      </c>
      <c r="J25" s="50"/>
      <c r="L25" s="38">
        <v>0.66500000000000004</v>
      </c>
      <c r="M25" s="170">
        <f t="shared" si="9"/>
        <v>6.4704500000000005</v>
      </c>
      <c r="N25" s="170">
        <f t="shared" si="10"/>
        <v>462.27474999999998</v>
      </c>
      <c r="O25" s="17">
        <f t="shared" si="11"/>
        <v>21.945</v>
      </c>
      <c r="P25" s="16">
        <f t="shared" si="5"/>
        <v>212.97954999999999</v>
      </c>
      <c r="Q25" s="48">
        <f t="shared" si="12"/>
        <v>25.270000000000003</v>
      </c>
      <c r="R25" s="73">
        <f t="shared" si="13"/>
        <v>252.70000000000005</v>
      </c>
      <c r="S25" s="50"/>
      <c r="U25" s="159">
        <f t="shared" si="14"/>
        <v>0.33250000000000002</v>
      </c>
      <c r="V25" s="170">
        <f t="shared" si="6"/>
        <v>1.6758000000000002</v>
      </c>
      <c r="W25" s="170">
        <f t="shared" si="15"/>
        <v>119.79975000000002</v>
      </c>
      <c r="X25" s="17">
        <f t="shared" si="16"/>
        <v>10.64</v>
      </c>
      <c r="Y25" s="70">
        <f t="shared" si="7"/>
        <v>104.72420000000001</v>
      </c>
      <c r="Z25" s="17">
        <f t="shared" si="17"/>
        <v>12.3025</v>
      </c>
      <c r="AA25" s="73">
        <f t="shared" si="18"/>
        <v>123.02500000000001</v>
      </c>
      <c r="AB25" s="50"/>
    </row>
    <row r="26" spans="1:28" x14ac:dyDescent="0.2">
      <c r="A26" s="44"/>
      <c r="C26" s="39">
        <v>1.9</v>
      </c>
      <c r="D26" s="171">
        <f t="shared" si="1"/>
        <v>9.5759999999999987</v>
      </c>
      <c r="E26" s="101">
        <f t="shared" si="2"/>
        <v>684.56999999999994</v>
      </c>
      <c r="F26" s="102">
        <f t="shared" si="3"/>
        <v>38</v>
      </c>
      <c r="G26" s="175">
        <f t="shared" si="4"/>
        <v>370.42399999999998</v>
      </c>
      <c r="H26" s="103">
        <f t="shared" si="0"/>
        <v>47.5</v>
      </c>
      <c r="I26" s="73">
        <f t="shared" si="8"/>
        <v>475</v>
      </c>
      <c r="J26" s="50"/>
      <c r="L26" s="39">
        <v>0.95</v>
      </c>
      <c r="M26" s="171">
        <f t="shared" si="9"/>
        <v>9.2434999999999992</v>
      </c>
      <c r="N26" s="171">
        <f t="shared" si="10"/>
        <v>660.39249999999993</v>
      </c>
      <c r="O26" s="102">
        <f t="shared" si="11"/>
        <v>31.349999999999998</v>
      </c>
      <c r="P26" s="122">
        <f t="shared" si="5"/>
        <v>304.25650000000002</v>
      </c>
      <c r="Q26" s="103">
        <f t="shared" si="12"/>
        <v>36.1</v>
      </c>
      <c r="R26" s="73">
        <f t="shared" si="13"/>
        <v>361</v>
      </c>
      <c r="S26" s="50"/>
      <c r="U26" s="159">
        <f t="shared" si="14"/>
        <v>0.47499999999999998</v>
      </c>
      <c r="V26" s="171">
        <f t="shared" si="6"/>
        <v>2.3939999999999997</v>
      </c>
      <c r="W26" s="171">
        <f t="shared" si="15"/>
        <v>171.14249999999998</v>
      </c>
      <c r="X26" s="17">
        <f t="shared" si="16"/>
        <v>15.2</v>
      </c>
      <c r="Y26" s="70">
        <f t="shared" si="7"/>
        <v>149.60599999999999</v>
      </c>
      <c r="Z26" s="17">
        <f t="shared" si="17"/>
        <v>17.574999999999999</v>
      </c>
      <c r="AA26" s="73">
        <f t="shared" si="18"/>
        <v>175.75</v>
      </c>
      <c r="AB26" s="50"/>
    </row>
    <row r="27" spans="1:28" x14ac:dyDescent="0.2">
      <c r="A27" s="166"/>
      <c r="C27" s="39">
        <v>2.5</v>
      </c>
      <c r="D27" s="170">
        <f t="shared" si="1"/>
        <v>12.6</v>
      </c>
      <c r="E27" s="14">
        <f t="shared" si="2"/>
        <v>900.75</v>
      </c>
      <c r="F27" s="17">
        <f t="shared" si="3"/>
        <v>50</v>
      </c>
      <c r="G27" s="174">
        <f t="shared" si="4"/>
        <v>487.4</v>
      </c>
      <c r="H27" s="48">
        <f t="shared" si="0"/>
        <v>62.5</v>
      </c>
      <c r="I27" s="73">
        <f t="shared" si="8"/>
        <v>625</v>
      </c>
      <c r="J27" s="50"/>
      <c r="L27" s="39">
        <v>1.1499999999999999</v>
      </c>
      <c r="M27" s="170">
        <f t="shared" si="9"/>
        <v>11.189499999999999</v>
      </c>
      <c r="N27" s="170">
        <f t="shared" si="10"/>
        <v>799.4224999999999</v>
      </c>
      <c r="O27" s="17">
        <f t="shared" si="11"/>
        <v>37.949999999999996</v>
      </c>
      <c r="P27" s="16">
        <f t="shared" si="5"/>
        <v>368.31049999999993</v>
      </c>
      <c r="Q27" s="48">
        <f t="shared" si="12"/>
        <v>43.699999999999996</v>
      </c>
      <c r="R27" s="73">
        <f t="shared" si="13"/>
        <v>436.99999999999994</v>
      </c>
      <c r="S27" s="50"/>
      <c r="U27" s="159">
        <f t="shared" si="14"/>
        <v>0.57499999999999996</v>
      </c>
      <c r="V27" s="170">
        <f t="shared" si="6"/>
        <v>2.8979999999999997</v>
      </c>
      <c r="W27" s="170">
        <f t="shared" si="15"/>
        <v>207.17249999999999</v>
      </c>
      <c r="X27" s="17">
        <f t="shared" si="16"/>
        <v>18.399999999999999</v>
      </c>
      <c r="Y27" s="70">
        <f t="shared" si="7"/>
        <v>181.102</v>
      </c>
      <c r="Z27" s="17">
        <f t="shared" si="17"/>
        <v>21.274999999999999</v>
      </c>
      <c r="AA27" s="73">
        <f t="shared" si="18"/>
        <v>212.75</v>
      </c>
      <c r="AB27" s="50"/>
    </row>
    <row r="28" spans="1:28" x14ac:dyDescent="0.2">
      <c r="A28" s="166"/>
      <c r="C28" s="39">
        <f>C27*1.33</f>
        <v>3.3250000000000002</v>
      </c>
      <c r="D28" s="171">
        <f t="shared" si="1"/>
        <v>16.758000000000003</v>
      </c>
      <c r="E28" s="101">
        <f t="shared" si="2"/>
        <v>1197.9975000000002</v>
      </c>
      <c r="F28" s="102">
        <f t="shared" si="3"/>
        <v>66.5</v>
      </c>
      <c r="G28" s="175">
        <f t="shared" si="4"/>
        <v>648.24199999999996</v>
      </c>
      <c r="H28" s="103">
        <f t="shared" si="0"/>
        <v>83.125</v>
      </c>
      <c r="I28" s="73">
        <f t="shared" si="8"/>
        <v>831.25</v>
      </c>
      <c r="J28" s="50"/>
      <c r="L28" s="39">
        <v>1.35</v>
      </c>
      <c r="M28" s="171">
        <f t="shared" si="9"/>
        <v>13.135500000000002</v>
      </c>
      <c r="N28" s="171">
        <f t="shared" si="10"/>
        <v>938.45249999999999</v>
      </c>
      <c r="O28" s="102">
        <f t="shared" si="11"/>
        <v>44.550000000000004</v>
      </c>
      <c r="P28" s="122">
        <f t="shared" si="5"/>
        <v>432.36450000000008</v>
      </c>
      <c r="Q28" s="103">
        <f t="shared" si="12"/>
        <v>51.300000000000004</v>
      </c>
      <c r="R28" s="73">
        <f t="shared" si="13"/>
        <v>513</v>
      </c>
      <c r="S28" s="50"/>
      <c r="U28" s="159">
        <f t="shared" si="14"/>
        <v>0.67500000000000004</v>
      </c>
      <c r="V28" s="171">
        <f t="shared" si="6"/>
        <v>3.4020000000000001</v>
      </c>
      <c r="W28" s="171">
        <f t="shared" si="15"/>
        <v>243.20250000000001</v>
      </c>
      <c r="X28" s="17">
        <f t="shared" si="16"/>
        <v>21.6</v>
      </c>
      <c r="Y28" s="70">
        <f t="shared" si="7"/>
        <v>212.59800000000001</v>
      </c>
      <c r="Z28" s="17">
        <f t="shared" si="17"/>
        <v>24.975000000000001</v>
      </c>
      <c r="AA28" s="73">
        <f t="shared" si="18"/>
        <v>249.75</v>
      </c>
      <c r="AB28" s="50"/>
    </row>
    <row r="29" spans="1:28" x14ac:dyDescent="0.2">
      <c r="A29" s="168"/>
      <c r="C29" s="39">
        <f t="shared" ref="C29:C41" si="19">C28*1.33</f>
        <v>4.4222500000000009</v>
      </c>
      <c r="D29" s="170">
        <f t="shared" si="1"/>
        <v>22.288140000000006</v>
      </c>
      <c r="E29" s="14">
        <f t="shared" si="2"/>
        <v>1593.3366750000005</v>
      </c>
      <c r="F29" s="17">
        <f t="shared" si="3"/>
        <v>88.445000000000022</v>
      </c>
      <c r="G29" s="174">
        <f t="shared" si="4"/>
        <v>862.16186000000027</v>
      </c>
      <c r="H29" s="48">
        <f t="shared" si="0"/>
        <v>110.55625000000002</v>
      </c>
      <c r="I29" s="73">
        <f t="shared" si="8"/>
        <v>1105.5625000000002</v>
      </c>
      <c r="J29" s="50"/>
      <c r="L29" s="39">
        <v>1.65</v>
      </c>
      <c r="M29" s="170">
        <f t="shared" si="9"/>
        <v>16.054500000000001</v>
      </c>
      <c r="N29" s="170">
        <f t="shared" si="10"/>
        <v>1146.9974999999999</v>
      </c>
      <c r="O29" s="17">
        <f t="shared" si="11"/>
        <v>54.449999999999996</v>
      </c>
      <c r="P29" s="16">
        <f t="shared" si="5"/>
        <v>528.44550000000004</v>
      </c>
      <c r="Q29" s="48">
        <f t="shared" si="12"/>
        <v>62.699999999999996</v>
      </c>
      <c r="R29" s="73">
        <f t="shared" si="13"/>
        <v>627</v>
      </c>
      <c r="S29" s="50"/>
      <c r="U29" s="159">
        <f t="shared" si="14"/>
        <v>0.82499999999999996</v>
      </c>
      <c r="V29" s="170">
        <f t="shared" si="6"/>
        <v>4.1579999999999995</v>
      </c>
      <c r="W29" s="170">
        <f t="shared" si="15"/>
        <v>297.2475</v>
      </c>
      <c r="X29" s="17">
        <f t="shared" si="16"/>
        <v>26.4</v>
      </c>
      <c r="Y29" s="70">
        <f t="shared" si="7"/>
        <v>259.84199999999998</v>
      </c>
      <c r="Z29" s="17">
        <f t="shared" si="17"/>
        <v>30.524999999999999</v>
      </c>
      <c r="AA29" s="73">
        <f t="shared" si="18"/>
        <v>305.25</v>
      </c>
      <c r="AB29" s="50"/>
    </row>
    <row r="30" spans="1:28" x14ac:dyDescent="0.2">
      <c r="A30" s="166"/>
      <c r="C30" s="39">
        <f t="shared" si="19"/>
        <v>5.8815925000000018</v>
      </c>
      <c r="D30" s="171">
        <f t="shared" si="1"/>
        <v>29.643226200000008</v>
      </c>
      <c r="E30" s="101">
        <f t="shared" si="2"/>
        <v>2119.1377777500006</v>
      </c>
      <c r="F30" s="102">
        <f t="shared" si="3"/>
        <v>117.63185000000004</v>
      </c>
      <c r="G30" s="175">
        <f t="shared" si="4"/>
        <v>1146.6752738000002</v>
      </c>
      <c r="H30" s="103">
        <f t="shared" si="0"/>
        <v>147.03981250000004</v>
      </c>
      <c r="I30" s="73">
        <f t="shared" si="8"/>
        <v>1470.3981250000004</v>
      </c>
      <c r="J30" s="50"/>
      <c r="L30" s="39">
        <v>2.2000000000000002</v>
      </c>
      <c r="M30" s="171">
        <f t="shared" si="9"/>
        <v>21.406000000000002</v>
      </c>
      <c r="N30" s="171">
        <f t="shared" si="10"/>
        <v>1529.3300000000002</v>
      </c>
      <c r="O30" s="102">
        <f t="shared" si="11"/>
        <v>72.600000000000009</v>
      </c>
      <c r="P30" s="122">
        <f t="shared" si="5"/>
        <v>704.59400000000016</v>
      </c>
      <c r="Q30" s="103">
        <f t="shared" si="12"/>
        <v>83.600000000000009</v>
      </c>
      <c r="R30" s="73">
        <f t="shared" si="13"/>
        <v>836.00000000000011</v>
      </c>
      <c r="S30" s="50"/>
      <c r="U30" s="159">
        <f t="shared" si="14"/>
        <v>1.1000000000000001</v>
      </c>
      <c r="V30" s="171">
        <f t="shared" si="6"/>
        <v>5.5440000000000005</v>
      </c>
      <c r="W30" s="171">
        <f t="shared" si="15"/>
        <v>396.33000000000004</v>
      </c>
      <c r="X30" s="17">
        <f t="shared" si="16"/>
        <v>35.200000000000003</v>
      </c>
      <c r="Y30" s="70">
        <f t="shared" si="7"/>
        <v>346.45600000000002</v>
      </c>
      <c r="Z30" s="17">
        <f t="shared" si="17"/>
        <v>40.700000000000003</v>
      </c>
      <c r="AA30" s="73">
        <f t="shared" si="18"/>
        <v>407</v>
      </c>
      <c r="AB30" s="50"/>
    </row>
    <row r="31" spans="1:28" x14ac:dyDescent="0.2">
      <c r="A31" s="166"/>
      <c r="C31" s="39">
        <f t="shared" si="19"/>
        <v>7.8225180250000026</v>
      </c>
      <c r="D31" s="170">
        <f t="shared" si="1"/>
        <v>39.425490846000017</v>
      </c>
      <c r="E31" s="14">
        <f t="shared" si="2"/>
        <v>2818.4532444075012</v>
      </c>
      <c r="F31" s="17">
        <f t="shared" si="3"/>
        <v>156.45036050000004</v>
      </c>
      <c r="G31" s="174">
        <f t="shared" si="4"/>
        <v>1525.0781141540003</v>
      </c>
      <c r="H31" s="48">
        <f t="shared" si="0"/>
        <v>195.56295062500007</v>
      </c>
      <c r="I31" s="73">
        <f t="shared" si="8"/>
        <v>1955.6295062500008</v>
      </c>
      <c r="J31" s="50"/>
      <c r="L31" s="39">
        <f>L30*1.11</f>
        <v>2.4420000000000006</v>
      </c>
      <c r="M31" s="170">
        <f t="shared" si="9"/>
        <v>23.760660000000009</v>
      </c>
      <c r="N31" s="170">
        <f t="shared" si="10"/>
        <v>1697.5563000000004</v>
      </c>
      <c r="O31" s="17">
        <f t="shared" si="11"/>
        <v>80.586000000000027</v>
      </c>
      <c r="P31" s="16">
        <f t="shared" si="5"/>
        <v>782.09934000000021</v>
      </c>
      <c r="Q31" s="48">
        <f t="shared" si="12"/>
        <v>92.796000000000021</v>
      </c>
      <c r="R31" s="73">
        <f t="shared" si="13"/>
        <v>927.96000000000026</v>
      </c>
      <c r="S31" s="50"/>
      <c r="U31" s="159">
        <f t="shared" si="14"/>
        <v>1.2210000000000003</v>
      </c>
      <c r="V31" s="170">
        <f t="shared" si="6"/>
        <v>6.1538400000000015</v>
      </c>
      <c r="W31" s="170">
        <f t="shared" si="15"/>
        <v>439.92630000000014</v>
      </c>
      <c r="X31" s="17">
        <f t="shared" si="16"/>
        <v>39.07200000000001</v>
      </c>
      <c r="Y31" s="70">
        <f t="shared" si="7"/>
        <v>384.56616000000008</v>
      </c>
      <c r="Z31" s="17">
        <f t="shared" si="17"/>
        <v>45.177000000000014</v>
      </c>
      <c r="AA31" s="73">
        <f t="shared" si="18"/>
        <v>451.77000000000015</v>
      </c>
      <c r="AB31" s="50"/>
    </row>
    <row r="32" spans="1:28" x14ac:dyDescent="0.2">
      <c r="A32" s="25"/>
      <c r="C32" s="39">
        <f t="shared" si="19"/>
        <v>10.403948973250005</v>
      </c>
      <c r="D32" s="171">
        <f t="shared" si="1"/>
        <v>52.435902825180023</v>
      </c>
      <c r="E32" s="101">
        <f t="shared" si="2"/>
        <v>3748.5428150619769</v>
      </c>
      <c r="F32" s="102">
        <f t="shared" si="3"/>
        <v>208.07897946500009</v>
      </c>
      <c r="G32" s="175">
        <f t="shared" si="4"/>
        <v>2028.3538918248207</v>
      </c>
      <c r="H32" s="103">
        <f t="shared" si="0"/>
        <v>260.09872433125014</v>
      </c>
      <c r="I32" s="73">
        <f t="shared" si="8"/>
        <v>2600.9872433125015</v>
      </c>
      <c r="J32" s="51"/>
      <c r="L32" s="39">
        <f t="shared" ref="L32:L34" si="20">L31*1.11</f>
        <v>2.7106200000000009</v>
      </c>
      <c r="M32" s="171">
        <f t="shared" si="9"/>
        <v>26.37433260000001</v>
      </c>
      <c r="N32" s="171">
        <f t="shared" si="10"/>
        <v>1884.2874930000005</v>
      </c>
      <c r="O32" s="102">
        <f t="shared" si="11"/>
        <v>89.450460000000035</v>
      </c>
      <c r="P32" s="122">
        <f t="shared" si="5"/>
        <v>868.13026740000032</v>
      </c>
      <c r="Q32" s="103">
        <f t="shared" si="12"/>
        <v>103.00356000000004</v>
      </c>
      <c r="R32" s="73">
        <f t="shared" si="13"/>
        <v>1030.0356000000004</v>
      </c>
      <c r="S32" s="51"/>
      <c r="U32" s="159">
        <f t="shared" si="14"/>
        <v>1.3553100000000005</v>
      </c>
      <c r="V32" s="171">
        <f t="shared" si="6"/>
        <v>6.830762400000002</v>
      </c>
      <c r="W32" s="171">
        <f t="shared" si="15"/>
        <v>488.31819300000018</v>
      </c>
      <c r="X32" s="17">
        <f t="shared" si="16"/>
        <v>43.369920000000015</v>
      </c>
      <c r="Y32" s="70">
        <f t="shared" si="7"/>
        <v>426.86843760000011</v>
      </c>
      <c r="Z32" s="17">
        <f t="shared" si="17"/>
        <v>50.146470000000015</v>
      </c>
      <c r="AA32" s="73">
        <f t="shared" si="18"/>
        <v>501.46470000000016</v>
      </c>
      <c r="AB32" s="51"/>
    </row>
    <row r="33" spans="1:28" x14ac:dyDescent="0.2">
      <c r="A33" s="43"/>
      <c r="C33" s="39">
        <f t="shared" si="19"/>
        <v>13.837252134422506</v>
      </c>
      <c r="D33" s="170">
        <f t="shared" si="1"/>
        <v>69.739750757489432</v>
      </c>
      <c r="E33" s="14">
        <f t="shared" ref="E33:E36" si="21">C33*$E$10</f>
        <v>4985.561944032429</v>
      </c>
      <c r="F33" s="17">
        <f t="shared" si="3"/>
        <v>276.7450426884501</v>
      </c>
      <c r="G33" s="174">
        <f t="shared" ref="G33:G36" si="22">F33*$E$14-D33</f>
        <v>2697.710676127012</v>
      </c>
      <c r="H33" s="48">
        <f t="shared" ref="H33:H36" si="23">C33*$H$20</f>
        <v>345.93130336056265</v>
      </c>
      <c r="I33" s="73">
        <f t="shared" si="8"/>
        <v>3459.3130336056265</v>
      </c>
      <c r="J33" s="51"/>
      <c r="L33" s="39">
        <f t="shared" si="20"/>
        <v>3.0087882000000015</v>
      </c>
      <c r="M33" s="170">
        <f t="shared" si="9"/>
        <v>29.275509186000015</v>
      </c>
      <c r="N33" s="170">
        <f t="shared" si="10"/>
        <v>2091.559117230001</v>
      </c>
      <c r="O33" s="17">
        <f t="shared" si="11"/>
        <v>99.290010600000045</v>
      </c>
      <c r="P33" s="16">
        <f t="shared" si="5"/>
        <v>963.62459681400048</v>
      </c>
      <c r="Q33" s="48">
        <f t="shared" si="12"/>
        <v>114.33395160000006</v>
      </c>
      <c r="R33" s="73">
        <f t="shared" si="13"/>
        <v>1143.3395160000007</v>
      </c>
      <c r="S33" s="51"/>
      <c r="U33" s="159">
        <f t="shared" si="14"/>
        <v>1.5043941000000007</v>
      </c>
      <c r="V33" s="170">
        <f t="shared" si="6"/>
        <v>7.5821462640000039</v>
      </c>
      <c r="W33" s="170">
        <f t="shared" si="15"/>
        <v>542.03319423000028</v>
      </c>
      <c r="X33" s="17">
        <f t="shared" si="16"/>
        <v>48.140611200000023</v>
      </c>
      <c r="Y33" s="70">
        <f t="shared" si="7"/>
        <v>473.82396573600022</v>
      </c>
      <c r="Z33" s="17">
        <f t="shared" si="17"/>
        <v>55.662581700000025</v>
      </c>
      <c r="AA33" s="73">
        <f t="shared" si="18"/>
        <v>556.62581700000021</v>
      </c>
      <c r="AB33" s="51"/>
    </row>
    <row r="34" spans="1:28" x14ac:dyDescent="0.2">
      <c r="A34" s="43"/>
      <c r="C34" s="39">
        <f t="shared" si="19"/>
        <v>18.403545338781935</v>
      </c>
      <c r="D34" s="171">
        <f t="shared" si="1"/>
        <v>92.75386850746095</v>
      </c>
      <c r="E34" s="101">
        <f t="shared" si="21"/>
        <v>6630.7973855631317</v>
      </c>
      <c r="F34" s="102">
        <f t="shared" si="3"/>
        <v>368.07090677563872</v>
      </c>
      <c r="G34" s="175">
        <f t="shared" si="22"/>
        <v>3587.9551992489264</v>
      </c>
      <c r="H34" s="103">
        <f t="shared" si="23"/>
        <v>460.08863346954837</v>
      </c>
      <c r="I34" s="73">
        <f t="shared" si="8"/>
        <v>4600.886334695484</v>
      </c>
      <c r="J34" s="51"/>
      <c r="L34" s="39">
        <f t="shared" si="20"/>
        <v>3.3397549020000019</v>
      </c>
      <c r="M34" s="171">
        <f t="shared" si="9"/>
        <v>32.495815196460022</v>
      </c>
      <c r="N34" s="171">
        <f t="shared" si="10"/>
        <v>2321.6306201253014</v>
      </c>
      <c r="O34" s="102">
        <f t="shared" si="11"/>
        <v>110.21191176600006</v>
      </c>
      <c r="P34" s="122">
        <f t="shared" si="5"/>
        <v>1069.6233024635405</v>
      </c>
      <c r="Q34" s="103">
        <f t="shared" si="12"/>
        <v>126.91068627600008</v>
      </c>
      <c r="R34" s="73">
        <f t="shared" si="13"/>
        <v>1269.1068627600007</v>
      </c>
      <c r="S34" s="51"/>
      <c r="U34" s="159">
        <f t="shared" si="14"/>
        <v>1.669877451000001</v>
      </c>
      <c r="V34" s="171">
        <f t="shared" si="6"/>
        <v>8.4161823530400053</v>
      </c>
      <c r="W34" s="171">
        <f t="shared" si="15"/>
        <v>601.65684559530041</v>
      </c>
      <c r="X34" s="17">
        <f t="shared" si="16"/>
        <v>53.436078432000031</v>
      </c>
      <c r="Y34" s="70">
        <f t="shared" si="7"/>
        <v>525.94460196696036</v>
      </c>
      <c r="Z34" s="17">
        <f t="shared" si="17"/>
        <v>61.785465687000034</v>
      </c>
      <c r="AA34" s="73">
        <f t="shared" si="18"/>
        <v>617.85465687000033</v>
      </c>
      <c r="AB34" s="51"/>
    </row>
    <row r="35" spans="1:28" x14ac:dyDescent="0.2">
      <c r="A35" s="43"/>
      <c r="C35" s="39">
        <f t="shared" si="19"/>
        <v>24.476715300579976</v>
      </c>
      <c r="D35" s="170">
        <f t="shared" si="1"/>
        <v>123.36264511492308</v>
      </c>
      <c r="E35" s="14">
        <f t="shared" si="21"/>
        <v>8818.960522798965</v>
      </c>
      <c r="F35" s="17">
        <f t="shared" si="3"/>
        <v>489.53430601159948</v>
      </c>
      <c r="G35" s="174">
        <f t="shared" si="22"/>
        <v>4771.9804150010714</v>
      </c>
      <c r="H35" s="48">
        <f t="shared" si="23"/>
        <v>611.91788251449941</v>
      </c>
      <c r="I35" s="73">
        <f t="shared" si="8"/>
        <v>6119.1788251449943</v>
      </c>
      <c r="J35" s="51"/>
      <c r="L35" s="39">
        <f>L34*1.11</f>
        <v>3.7071279412200027</v>
      </c>
      <c r="M35" s="170">
        <f t="shared" si="9"/>
        <v>36.070354868070631</v>
      </c>
      <c r="N35" s="170">
        <f t="shared" si="10"/>
        <v>2577.0099883390849</v>
      </c>
      <c r="O35" s="17">
        <f t="shared" si="11"/>
        <v>122.33522206026009</v>
      </c>
      <c r="P35" s="16">
        <f t="shared" si="5"/>
        <v>1187.2818657345304</v>
      </c>
      <c r="Q35" s="48">
        <f t="shared" si="12"/>
        <v>140.87086176636009</v>
      </c>
      <c r="R35" s="73">
        <f t="shared" si="13"/>
        <v>1408.708617663601</v>
      </c>
      <c r="S35" s="51"/>
      <c r="U35" s="159">
        <f t="shared" si="14"/>
        <v>1.8535639706100013</v>
      </c>
      <c r="V35" s="170">
        <f t="shared" si="6"/>
        <v>9.3419624118744071</v>
      </c>
      <c r="W35" s="170">
        <f t="shared" si="15"/>
        <v>667.83909861078348</v>
      </c>
      <c r="X35" s="17">
        <f t="shared" si="16"/>
        <v>59.314047059520043</v>
      </c>
      <c r="Y35" s="70">
        <f t="shared" si="7"/>
        <v>583.79850818332602</v>
      </c>
      <c r="Z35" s="17">
        <f t="shared" si="17"/>
        <v>68.58186691257005</v>
      </c>
      <c r="AA35" s="73">
        <f t="shared" si="18"/>
        <v>685.81866912570047</v>
      </c>
      <c r="AB35" s="51"/>
    </row>
    <row r="36" spans="1:28" x14ac:dyDescent="0.2">
      <c r="A36" s="43"/>
      <c r="C36" s="39">
        <f t="shared" si="19"/>
        <v>32.554031349771371</v>
      </c>
      <c r="D36" s="171">
        <f t="shared" si="1"/>
        <v>164.07231800284771</v>
      </c>
      <c r="E36" s="101">
        <f t="shared" si="21"/>
        <v>11729.217495322626</v>
      </c>
      <c r="F36" s="102">
        <f t="shared" si="3"/>
        <v>651.08062699542745</v>
      </c>
      <c r="G36" s="175">
        <f t="shared" si="22"/>
        <v>6346.7339519514262</v>
      </c>
      <c r="H36" s="103">
        <f t="shared" si="23"/>
        <v>813.85078374428429</v>
      </c>
      <c r="I36" s="73">
        <f t="shared" si="8"/>
        <v>8138.5078374428431</v>
      </c>
      <c r="J36" s="51"/>
      <c r="L36" s="39">
        <v>4.2</v>
      </c>
      <c r="M36" s="171">
        <f t="shared" si="9"/>
        <v>40.866000000000007</v>
      </c>
      <c r="N36" s="171">
        <f t="shared" si="10"/>
        <v>2919.63</v>
      </c>
      <c r="O36" s="102">
        <f t="shared" si="11"/>
        <v>138.6</v>
      </c>
      <c r="P36" s="122">
        <f t="shared" si="5"/>
        <v>1345.134</v>
      </c>
      <c r="Q36" s="103">
        <f t="shared" si="12"/>
        <v>159.6</v>
      </c>
      <c r="R36" s="73">
        <f t="shared" si="13"/>
        <v>1596</v>
      </c>
      <c r="S36" s="51"/>
      <c r="U36" s="159">
        <f t="shared" si="14"/>
        <v>2.1</v>
      </c>
      <c r="V36" s="171">
        <f t="shared" si="6"/>
        <v>10.584000000000001</v>
      </c>
      <c r="W36" s="171">
        <f t="shared" si="15"/>
        <v>756.63000000000011</v>
      </c>
      <c r="X36" s="17">
        <f t="shared" si="16"/>
        <v>67.2</v>
      </c>
      <c r="Y36" s="70">
        <f t="shared" si="7"/>
        <v>661.41600000000005</v>
      </c>
      <c r="Z36" s="17">
        <f t="shared" si="17"/>
        <v>77.7</v>
      </c>
      <c r="AA36" s="73">
        <f t="shared" si="18"/>
        <v>777</v>
      </c>
      <c r="AB36" s="51"/>
    </row>
    <row r="37" spans="1:28" x14ac:dyDescent="0.2">
      <c r="A37" s="43"/>
      <c r="C37" s="39">
        <f t="shared" si="19"/>
        <v>43.296861695195929</v>
      </c>
      <c r="D37" s="170">
        <f t="shared" si="1"/>
        <v>218.21618294378749</v>
      </c>
      <c r="E37" s="14">
        <f t="shared" si="2"/>
        <v>15599.859268779093</v>
      </c>
      <c r="F37" s="17">
        <f t="shared" si="3"/>
        <v>865.93723390391858</v>
      </c>
      <c r="G37" s="174">
        <f t="shared" si="4"/>
        <v>8441.1561560953978</v>
      </c>
      <c r="H37" s="48">
        <f>C37*$H$20</f>
        <v>1082.4215423798983</v>
      </c>
      <c r="I37" s="73">
        <f t="shared" si="8"/>
        <v>10824.215423798982</v>
      </c>
      <c r="J37" s="51"/>
      <c r="L37" s="39">
        <v>5.6</v>
      </c>
      <c r="M37" s="170">
        <f t="shared" si="9"/>
        <v>54.488</v>
      </c>
      <c r="N37" s="170">
        <f t="shared" si="10"/>
        <v>3892.8399999999997</v>
      </c>
      <c r="O37" s="17">
        <f t="shared" si="11"/>
        <v>184.79999999999998</v>
      </c>
      <c r="P37" s="16">
        <f t="shared" si="5"/>
        <v>1793.5119999999997</v>
      </c>
      <c r="Q37" s="48">
        <f t="shared" si="12"/>
        <v>212.79999999999998</v>
      </c>
      <c r="R37" s="73">
        <f t="shared" si="13"/>
        <v>2128</v>
      </c>
      <c r="S37" s="51"/>
      <c r="U37" s="159">
        <f t="shared" si="14"/>
        <v>2.8</v>
      </c>
      <c r="V37" s="170">
        <f t="shared" si="6"/>
        <v>14.111999999999998</v>
      </c>
      <c r="W37" s="170">
        <f t="shared" si="15"/>
        <v>1008.8399999999999</v>
      </c>
      <c r="X37" s="17">
        <f t="shared" si="16"/>
        <v>89.6</v>
      </c>
      <c r="Y37" s="70">
        <f t="shared" si="7"/>
        <v>881.88800000000003</v>
      </c>
      <c r="Z37" s="17">
        <f t="shared" si="17"/>
        <v>103.6</v>
      </c>
      <c r="AA37" s="73">
        <f t="shared" si="18"/>
        <v>1036</v>
      </c>
      <c r="AB37" s="51"/>
    </row>
    <row r="38" spans="1:28" x14ac:dyDescent="0.2">
      <c r="A38" s="43"/>
      <c r="C38" s="39">
        <f t="shared" si="19"/>
        <v>57.584826054610588</v>
      </c>
      <c r="D38" s="171">
        <f t="shared" si="1"/>
        <v>290.22752331523736</v>
      </c>
      <c r="E38" s="101">
        <f t="shared" ref="E38:E40" si="24">C38*$E$10</f>
        <v>20747.812827476195</v>
      </c>
      <c r="F38" s="102">
        <f t="shared" si="3"/>
        <v>1151.6965210922117</v>
      </c>
      <c r="G38" s="175">
        <f t="shared" ref="G38:G40" si="25">F38*$E$14-D38</f>
        <v>11226.737687606879</v>
      </c>
      <c r="H38" s="103">
        <f t="shared" ref="H38:H40" si="26">C38*$H$20</f>
        <v>1439.6206513652646</v>
      </c>
      <c r="I38" s="73">
        <f t="shared" si="8"/>
        <v>14396.206513652647</v>
      </c>
      <c r="J38" s="51"/>
      <c r="L38" s="39">
        <v>6.7</v>
      </c>
      <c r="M38" s="171">
        <f t="shared" si="9"/>
        <v>65.191000000000003</v>
      </c>
      <c r="N38" s="171">
        <f t="shared" si="10"/>
        <v>4657.5050000000001</v>
      </c>
      <c r="O38" s="102">
        <f t="shared" si="11"/>
        <v>221.1</v>
      </c>
      <c r="P38" s="122">
        <f t="shared" si="5"/>
        <v>2145.8090000000002</v>
      </c>
      <c r="Q38" s="103">
        <f t="shared" si="12"/>
        <v>254.6</v>
      </c>
      <c r="R38" s="73">
        <f t="shared" si="13"/>
        <v>2546</v>
      </c>
      <c r="S38" s="51"/>
      <c r="U38" s="159">
        <f t="shared" si="14"/>
        <v>3.35</v>
      </c>
      <c r="V38" s="171">
        <f t="shared" si="6"/>
        <v>16.884</v>
      </c>
      <c r="W38" s="171">
        <f t="shared" si="15"/>
        <v>1207.0050000000001</v>
      </c>
      <c r="X38" s="17">
        <f t="shared" si="16"/>
        <v>107.2</v>
      </c>
      <c r="Y38" s="70">
        <f t="shared" si="7"/>
        <v>1055.116</v>
      </c>
      <c r="Z38" s="17">
        <f t="shared" si="17"/>
        <v>123.95</v>
      </c>
      <c r="AA38" s="73">
        <f t="shared" si="18"/>
        <v>1239.5</v>
      </c>
      <c r="AB38" s="51"/>
    </row>
    <row r="39" spans="1:28" x14ac:dyDescent="0.2">
      <c r="A39" s="43"/>
      <c r="C39" s="39">
        <f t="shared" si="19"/>
        <v>76.58781865263208</v>
      </c>
      <c r="D39" s="170">
        <f t="shared" si="1"/>
        <v>386.00260600926566</v>
      </c>
      <c r="E39" s="14">
        <f t="shared" si="24"/>
        <v>27594.591060543338</v>
      </c>
      <c r="F39" s="17">
        <f t="shared" si="3"/>
        <v>1531.7563730526417</v>
      </c>
      <c r="G39" s="174">
        <f t="shared" si="25"/>
        <v>14931.561124517151</v>
      </c>
      <c r="H39" s="48">
        <f t="shared" si="26"/>
        <v>1914.6954663158019</v>
      </c>
      <c r="I39" s="73">
        <f t="shared" si="8"/>
        <v>19146.95466315802</v>
      </c>
      <c r="J39" s="51"/>
      <c r="L39" s="39">
        <v>8.1999999999999993</v>
      </c>
      <c r="M39" s="170">
        <f t="shared" si="9"/>
        <v>79.786000000000001</v>
      </c>
      <c r="N39" s="170">
        <f t="shared" si="10"/>
        <v>5700.23</v>
      </c>
      <c r="O39" s="17">
        <f t="shared" si="11"/>
        <v>270.59999999999997</v>
      </c>
      <c r="P39" s="16">
        <f t="shared" si="5"/>
        <v>2626.2139999999995</v>
      </c>
      <c r="Q39" s="48">
        <f t="shared" si="12"/>
        <v>311.59999999999997</v>
      </c>
      <c r="R39" s="73">
        <f t="shared" si="13"/>
        <v>3115.9999999999995</v>
      </c>
      <c r="S39" s="51"/>
      <c r="U39" s="159">
        <f t="shared" si="14"/>
        <v>4.0999999999999996</v>
      </c>
      <c r="V39" s="170">
        <f t="shared" si="6"/>
        <v>20.663999999999998</v>
      </c>
      <c r="W39" s="170">
        <f t="shared" si="15"/>
        <v>1477.23</v>
      </c>
      <c r="X39" s="17">
        <f t="shared" si="16"/>
        <v>131.19999999999999</v>
      </c>
      <c r="Y39" s="70">
        <f t="shared" si="7"/>
        <v>1291.336</v>
      </c>
      <c r="Z39" s="17">
        <f t="shared" si="17"/>
        <v>151.69999999999999</v>
      </c>
      <c r="AA39" s="73">
        <f t="shared" si="18"/>
        <v>1517</v>
      </c>
      <c r="AB39" s="51"/>
    </row>
    <row r="40" spans="1:28" x14ac:dyDescent="0.2">
      <c r="A40" s="43"/>
      <c r="C40" s="39">
        <f t="shared" si="19"/>
        <v>101.86179880800067</v>
      </c>
      <c r="D40" s="171">
        <f t="shared" si="1"/>
        <v>513.38346599232341</v>
      </c>
      <c r="E40" s="101">
        <f t="shared" si="24"/>
        <v>36700.806110522644</v>
      </c>
      <c r="F40" s="102">
        <f t="shared" si="3"/>
        <v>2037.2359761600135</v>
      </c>
      <c r="G40" s="175">
        <f t="shared" si="25"/>
        <v>19858.976295607812</v>
      </c>
      <c r="H40" s="103">
        <f t="shared" si="26"/>
        <v>2546.5449702000169</v>
      </c>
      <c r="I40" s="73">
        <f t="shared" si="8"/>
        <v>25465.449702000169</v>
      </c>
      <c r="J40" s="51"/>
      <c r="L40" s="39">
        <v>9.6</v>
      </c>
      <c r="M40" s="171">
        <f t="shared" si="9"/>
        <v>93.408000000000001</v>
      </c>
      <c r="N40" s="171">
        <f t="shared" si="10"/>
        <v>6673.44</v>
      </c>
      <c r="O40" s="102">
        <f t="shared" si="11"/>
        <v>316.8</v>
      </c>
      <c r="P40" s="122">
        <f t="shared" si="5"/>
        <v>3074.5920000000001</v>
      </c>
      <c r="Q40" s="103">
        <f t="shared" si="12"/>
        <v>364.8</v>
      </c>
      <c r="R40" s="73">
        <f t="shared" si="13"/>
        <v>3648</v>
      </c>
      <c r="S40" s="51"/>
      <c r="U40" s="159">
        <f t="shared" si="14"/>
        <v>4.8</v>
      </c>
      <c r="V40" s="171">
        <f t="shared" si="6"/>
        <v>24.192</v>
      </c>
      <c r="W40" s="171">
        <f t="shared" si="15"/>
        <v>1729.44</v>
      </c>
      <c r="X40" s="17">
        <f t="shared" si="16"/>
        <v>153.6</v>
      </c>
      <c r="Y40" s="70">
        <f t="shared" si="7"/>
        <v>1511.808</v>
      </c>
      <c r="Z40" s="17">
        <f t="shared" si="17"/>
        <v>177.6</v>
      </c>
      <c r="AA40" s="73">
        <f t="shared" si="18"/>
        <v>1776</v>
      </c>
      <c r="AB40" s="51"/>
    </row>
    <row r="41" spans="1:28" ht="13.5" thickBot="1" x14ac:dyDescent="0.25">
      <c r="A41" s="43"/>
      <c r="C41" s="39">
        <f t="shared" si="19"/>
        <v>135.47619241464091</v>
      </c>
      <c r="D41" s="172">
        <f t="shared" si="1"/>
        <v>682.80000976979022</v>
      </c>
      <c r="E41" s="15">
        <f t="shared" si="2"/>
        <v>48812.072126995117</v>
      </c>
      <c r="F41" s="56">
        <f t="shared" si="3"/>
        <v>2709.523848292818</v>
      </c>
      <c r="G41" s="176">
        <f t="shared" si="4"/>
        <v>26412.438473158389</v>
      </c>
      <c r="H41" s="123">
        <f>C41*$H$20</f>
        <v>3386.9048103660225</v>
      </c>
      <c r="I41" s="74">
        <f t="shared" si="8"/>
        <v>33869.048103660229</v>
      </c>
      <c r="J41" s="52"/>
      <c r="L41" s="40">
        <v>10.5</v>
      </c>
      <c r="M41" s="172">
        <f t="shared" si="9"/>
        <v>102.16500000000001</v>
      </c>
      <c r="N41" s="172">
        <f t="shared" si="10"/>
        <v>7299.0749999999998</v>
      </c>
      <c r="O41" s="56">
        <f t="shared" si="11"/>
        <v>346.5</v>
      </c>
      <c r="P41" s="68">
        <f t="shared" si="5"/>
        <v>3362.835</v>
      </c>
      <c r="Q41" s="123">
        <f t="shared" si="12"/>
        <v>399</v>
      </c>
      <c r="R41" s="74">
        <f t="shared" si="13"/>
        <v>3990</v>
      </c>
      <c r="S41" s="52"/>
      <c r="U41" s="165">
        <f t="shared" si="14"/>
        <v>5.25</v>
      </c>
      <c r="V41" s="172">
        <f t="shared" si="6"/>
        <v>26.46</v>
      </c>
      <c r="W41" s="172">
        <f t="shared" si="15"/>
        <v>1891.575</v>
      </c>
      <c r="X41" s="56">
        <f t="shared" si="16"/>
        <v>168</v>
      </c>
      <c r="Y41" s="71">
        <f t="shared" si="7"/>
        <v>1653.54</v>
      </c>
      <c r="Z41" s="56">
        <f t="shared" si="17"/>
        <v>194.25</v>
      </c>
      <c r="AA41" s="74">
        <f t="shared" si="18"/>
        <v>1942.5</v>
      </c>
      <c r="AB41" s="52"/>
    </row>
    <row r="42" spans="1:28" s="42" customFormat="1" ht="13.5" thickBot="1" x14ac:dyDescent="0.25">
      <c r="C42" s="61"/>
      <c r="D42" s="62"/>
      <c r="E42" s="63"/>
      <c r="F42" s="67"/>
      <c r="G42" s="57"/>
      <c r="H42" s="77"/>
      <c r="I42" s="57"/>
      <c r="J42" s="64"/>
      <c r="L42" s="61"/>
      <c r="M42" s="62"/>
      <c r="N42" s="63"/>
      <c r="O42" s="67"/>
      <c r="P42" s="57"/>
      <c r="Q42" s="77"/>
      <c r="R42" s="57"/>
      <c r="S42" s="64"/>
      <c r="U42" s="61"/>
      <c r="V42" s="62"/>
      <c r="W42" s="63"/>
      <c r="X42" s="67"/>
      <c r="Y42" s="57"/>
      <c r="Z42" s="77"/>
      <c r="AA42" s="57"/>
      <c r="AB42" s="64"/>
    </row>
    <row r="43" spans="1:28" ht="39" thickBot="1" x14ac:dyDescent="0.25">
      <c r="C43" s="93" t="s">
        <v>44</v>
      </c>
      <c r="D43" s="114" t="s">
        <v>45</v>
      </c>
      <c r="E43" s="114" t="s">
        <v>55</v>
      </c>
      <c r="F43" s="93" t="s">
        <v>46</v>
      </c>
      <c r="G43" s="93"/>
      <c r="H43" s="93" t="s">
        <v>48</v>
      </c>
      <c r="I43" s="93"/>
      <c r="J43" s="93" t="s">
        <v>49</v>
      </c>
      <c r="L43" s="93" t="s">
        <v>44</v>
      </c>
      <c r="M43" s="114" t="s">
        <v>45</v>
      </c>
      <c r="N43" s="114" t="s">
        <v>55</v>
      </c>
      <c r="O43" s="93" t="s">
        <v>46</v>
      </c>
      <c r="P43" s="93"/>
      <c r="Q43" s="93" t="s">
        <v>48</v>
      </c>
      <c r="R43" s="93"/>
      <c r="S43" s="93" t="s">
        <v>49</v>
      </c>
      <c r="U43" s="93" t="s">
        <v>44</v>
      </c>
      <c r="V43" s="114" t="s">
        <v>45</v>
      </c>
      <c r="W43" s="114" t="s">
        <v>55</v>
      </c>
      <c r="X43" s="93" t="s">
        <v>46</v>
      </c>
      <c r="Y43" s="93"/>
      <c r="Z43" s="93" t="s">
        <v>48</v>
      </c>
      <c r="AA43" s="93"/>
      <c r="AB43" s="93" t="s">
        <v>49</v>
      </c>
    </row>
    <row r="44" spans="1:28" ht="3" customHeight="1" thickBot="1" x14ac:dyDescent="0.25">
      <c r="C44" s="27"/>
      <c r="D44" s="29"/>
      <c r="E44" s="32"/>
      <c r="F44" s="76"/>
      <c r="G44" s="29"/>
      <c r="H44" s="89"/>
      <c r="I44" s="29"/>
      <c r="J44" s="28"/>
      <c r="L44" s="27"/>
      <c r="M44" s="29"/>
      <c r="N44" s="32"/>
      <c r="O44" s="76"/>
      <c r="P44" s="29"/>
      <c r="Q44" s="89"/>
      <c r="R44" s="29"/>
      <c r="S44" s="28"/>
      <c r="U44" s="27"/>
      <c r="V44" s="29"/>
      <c r="W44" s="32"/>
      <c r="X44" s="76"/>
      <c r="Y44" s="29"/>
      <c r="Z44" s="89"/>
      <c r="AA44" s="29"/>
      <c r="AB44" s="28"/>
    </row>
    <row r="45" spans="1:28" x14ac:dyDescent="0.2">
      <c r="C45" s="79">
        <v>1</v>
      </c>
      <c r="D45" s="169">
        <f>D22</f>
        <v>5.04</v>
      </c>
      <c r="E45" s="104">
        <f>E22</f>
        <v>360.3</v>
      </c>
      <c r="F45" s="105">
        <f>F22</f>
        <v>20</v>
      </c>
      <c r="G45" s="177" t="e">
        <f>F22*$F$15-D22</f>
        <v>#DIV/0!</v>
      </c>
      <c r="H45" s="107">
        <f>G22</f>
        <v>194.96</v>
      </c>
      <c r="I45" s="108" t="e">
        <f>H22*F15</f>
        <v>#DIV/0!</v>
      </c>
      <c r="J45" s="108" t="e">
        <f>G45</f>
        <v>#DIV/0!</v>
      </c>
      <c r="L45" s="79">
        <v>1</v>
      </c>
      <c r="M45" s="169">
        <f>M22</f>
        <v>4.3785000000000007</v>
      </c>
      <c r="N45" s="169">
        <f>N22</f>
        <v>312.8175</v>
      </c>
      <c r="O45" s="105">
        <f>O22</f>
        <v>14.85</v>
      </c>
      <c r="P45" s="106">
        <f>O22*$O$15-M22</f>
        <v>260.71182000000005</v>
      </c>
      <c r="Q45" s="107">
        <f>O45*N$14-M45</f>
        <v>144.1215</v>
      </c>
      <c r="R45" s="108">
        <f>Q22*O15</f>
        <v>305.25552000000005</v>
      </c>
      <c r="S45" s="108">
        <f>P45</f>
        <v>260.71182000000005</v>
      </c>
      <c r="U45" s="79">
        <v>1</v>
      </c>
      <c r="V45" s="169">
        <f>V22</f>
        <v>1.1340000000000001</v>
      </c>
      <c r="W45" s="169">
        <f>W22</f>
        <v>81.06750000000001</v>
      </c>
      <c r="X45" s="105">
        <f>X22</f>
        <v>7.2</v>
      </c>
      <c r="Y45" s="106">
        <f>X22*$X$15-V22</f>
        <v>89.722800000000007</v>
      </c>
      <c r="Z45" s="107">
        <f>X45*W$14-V45</f>
        <v>70.866</v>
      </c>
      <c r="AA45" s="86">
        <f>Z22*X15</f>
        <v>105.05317500000001</v>
      </c>
      <c r="AB45" s="86">
        <f>Y45</f>
        <v>89.722800000000007</v>
      </c>
    </row>
    <row r="46" spans="1:28" x14ac:dyDescent="0.2">
      <c r="C46" s="80">
        <v>2</v>
      </c>
      <c r="D46" s="170">
        <f>D22+D23</f>
        <v>12.096</v>
      </c>
      <c r="E46" s="82">
        <f>E22+E23</f>
        <v>864.72</v>
      </c>
      <c r="F46" s="84">
        <f>F23-H22</f>
        <v>3</v>
      </c>
      <c r="G46" s="178" t="e">
        <f>F23*$F$15-D23</f>
        <v>#DIV/0!</v>
      </c>
      <c r="H46" s="90">
        <f>G23-I22</f>
        <v>22.944000000000017</v>
      </c>
      <c r="I46" s="87" t="e">
        <f>H23*$F$15</f>
        <v>#DIV/0!</v>
      </c>
      <c r="J46" s="87" t="e">
        <f>G46-I45</f>
        <v>#DIV/0!</v>
      </c>
      <c r="L46" s="80">
        <v>2</v>
      </c>
      <c r="M46" s="170">
        <f>M22+M23</f>
        <v>10.848950000000002</v>
      </c>
      <c r="N46" s="170">
        <f>N22+N23</f>
        <v>775.09224999999992</v>
      </c>
      <c r="O46" s="84">
        <f>O23-Q22</f>
        <v>4.8449999999999989</v>
      </c>
      <c r="P46" s="94">
        <f>O23*$O$15-M23</f>
        <v>385.274134</v>
      </c>
      <c r="Q46" s="90">
        <f>P23-R22</f>
        <v>41.979549999999989</v>
      </c>
      <c r="R46" s="87">
        <f>Q23*$O$15</f>
        <v>451.09982400000013</v>
      </c>
      <c r="S46" s="112">
        <f>P46-R45</f>
        <v>80.018613999999957</v>
      </c>
      <c r="U46" s="80">
        <v>2</v>
      </c>
      <c r="V46" s="170">
        <f>V22+V23</f>
        <v>2.8098000000000001</v>
      </c>
      <c r="W46" s="170">
        <f>W22+W23</f>
        <v>200.86725000000001</v>
      </c>
      <c r="X46" s="84">
        <f>X23-Z22</f>
        <v>2.3149999999999995</v>
      </c>
      <c r="Y46" s="94">
        <f>X23*$X$15-V23</f>
        <v>132.59036</v>
      </c>
      <c r="Z46" s="90">
        <f>Y23-AA22</f>
        <v>21.474199999999996</v>
      </c>
      <c r="AA46" s="87">
        <f>Z23*$X$15</f>
        <v>155.2452475</v>
      </c>
      <c r="AB46" s="87">
        <f>Y46-AA45</f>
        <v>27.537184999999994</v>
      </c>
    </row>
    <row r="47" spans="1:28" x14ac:dyDescent="0.2">
      <c r="C47" s="80">
        <v>3</v>
      </c>
      <c r="D47" s="171">
        <f>D22+D23+D24</f>
        <v>17.135999999999999</v>
      </c>
      <c r="E47" s="109">
        <f>E22+E23+E24</f>
        <v>1225.02</v>
      </c>
      <c r="F47" s="110">
        <f>F22+F24-H23</f>
        <v>5</v>
      </c>
      <c r="G47" s="178" t="e">
        <f t="shared" ref="G47:G64" si="27">F24*$F$15-D24</f>
        <v>#DIV/0!</v>
      </c>
      <c r="H47" s="111">
        <f>G22+G24-I23</f>
        <v>39.920000000000016</v>
      </c>
      <c r="I47" s="112" t="e">
        <f t="shared" ref="I47:I64" si="28">H24*$F$15</f>
        <v>#DIV/0!</v>
      </c>
      <c r="J47" s="112" t="e">
        <f>G45+G47-I46</f>
        <v>#DIV/0!</v>
      </c>
      <c r="L47" s="80">
        <v>3</v>
      </c>
      <c r="M47" s="171">
        <f>M22+M23+M24</f>
        <v>15.227450000000003</v>
      </c>
      <c r="N47" s="171">
        <f>N22+N23+N24</f>
        <v>1087.9097499999998</v>
      </c>
      <c r="O47" s="110">
        <f>O22+O24-Q23</f>
        <v>4.4299999999999962</v>
      </c>
      <c r="P47" s="94">
        <f t="shared" ref="P47:P64" si="29">O24*$O$15-M24</f>
        <v>260.71182000000005</v>
      </c>
      <c r="Q47" s="111">
        <f>P22+P24-R23</f>
        <v>35.54299999999995</v>
      </c>
      <c r="R47" s="87">
        <f t="shared" ref="R47:R64" si="30">Q24*$O$15</f>
        <v>305.25552000000005</v>
      </c>
      <c r="S47" s="112">
        <f>P45+P47-R46</f>
        <v>70.323815999999965</v>
      </c>
      <c r="U47" s="80">
        <v>3</v>
      </c>
      <c r="V47" s="171">
        <f>V22+V23+V24</f>
        <v>3.9438000000000004</v>
      </c>
      <c r="W47" s="171">
        <f>W22+W23+W24</f>
        <v>281.93475000000001</v>
      </c>
      <c r="X47" s="110">
        <f>X22+X24-Z23</f>
        <v>2.0975000000000001</v>
      </c>
      <c r="Y47" s="94">
        <f t="shared" ref="Y47:Y64" si="31">X24*$X$15-V24</f>
        <v>89.722800000000007</v>
      </c>
      <c r="Z47" s="111">
        <f>Y22+Y24-AA23</f>
        <v>18.706999999999994</v>
      </c>
      <c r="AA47" s="87">
        <f t="shared" ref="AA47:AA64" si="32">Z24*$X$15</f>
        <v>105.05317500000001</v>
      </c>
      <c r="AB47" s="87">
        <f>Y45+Y47-AA46</f>
        <v>24.200352500000008</v>
      </c>
    </row>
    <row r="48" spans="1:28" x14ac:dyDescent="0.2">
      <c r="C48" s="80">
        <v>4</v>
      </c>
      <c r="D48" s="170">
        <f>D22+D23+D24+D25</f>
        <v>24.192</v>
      </c>
      <c r="E48" s="82">
        <f>E22+E23+E24+E25</f>
        <v>1729.44</v>
      </c>
      <c r="F48" s="84">
        <f>F23+F25-H24-H22</f>
        <v>6</v>
      </c>
      <c r="G48" s="178" t="e">
        <f t="shared" si="27"/>
        <v>#DIV/0!</v>
      </c>
      <c r="H48" s="90">
        <f>G23+G25-I24-I22</f>
        <v>45.888000000000034</v>
      </c>
      <c r="I48" s="87" t="e">
        <f t="shared" si="28"/>
        <v>#DIV/0!</v>
      </c>
      <c r="J48" s="87" t="e">
        <f>G46+G48-I47-I45</f>
        <v>#DIV/0!</v>
      </c>
      <c r="L48" s="80">
        <v>4</v>
      </c>
      <c r="M48" s="170">
        <f>M22+M23+M24+M25</f>
        <v>21.697900000000004</v>
      </c>
      <c r="N48" s="170">
        <f>N22+N23+N24+N25</f>
        <v>1550.1844999999998</v>
      </c>
      <c r="O48" s="84">
        <f>O23+O25-Q24-Q22</f>
        <v>9.6899999999999977</v>
      </c>
      <c r="P48" s="94">
        <f t="shared" si="29"/>
        <v>385.274134</v>
      </c>
      <c r="Q48" s="90">
        <f>P23+P25-R24-R22</f>
        <v>83.959099999999978</v>
      </c>
      <c r="R48" s="87">
        <f t="shared" si="30"/>
        <v>451.09982400000013</v>
      </c>
      <c r="S48" s="112">
        <f>P46+P48-R47-R45</f>
        <v>160.03722799999991</v>
      </c>
      <c r="U48" s="80">
        <v>4</v>
      </c>
      <c r="V48" s="170">
        <f>V22+V23+V24+V25</f>
        <v>5.6196000000000002</v>
      </c>
      <c r="W48" s="170">
        <f>W22+W23+W24+W25</f>
        <v>401.73450000000003</v>
      </c>
      <c r="X48" s="84">
        <f>X23+X25-Z24-Z22</f>
        <v>4.629999999999999</v>
      </c>
      <c r="Y48" s="94">
        <f t="shared" si="31"/>
        <v>132.59036</v>
      </c>
      <c r="Z48" s="90">
        <f>Y23+Y25-AA24-AA22</f>
        <v>42.948399999999992</v>
      </c>
      <c r="AA48" s="87">
        <f t="shared" si="32"/>
        <v>155.2452475</v>
      </c>
      <c r="AB48" s="87">
        <f>Y46+Y48-AA47-AA45</f>
        <v>55.074369999999988</v>
      </c>
    </row>
    <row r="49" spans="3:28" x14ac:dyDescent="0.2">
      <c r="C49" s="80">
        <v>5</v>
      </c>
      <c r="D49" s="171">
        <f>D22+D23+D24+D25+D26</f>
        <v>33.768000000000001</v>
      </c>
      <c r="E49" s="109">
        <f>E22+E23+E24+E25+E26</f>
        <v>2414.0100000000002</v>
      </c>
      <c r="F49" s="110">
        <f>F22+F24+F26-H25-H23</f>
        <v>8</v>
      </c>
      <c r="G49" s="178" t="e">
        <f t="shared" si="27"/>
        <v>#DIV/0!</v>
      </c>
      <c r="H49" s="111">
        <f>(G22+G24+G26)-(I25+I23)</f>
        <v>60.344000000000051</v>
      </c>
      <c r="I49" s="112" t="e">
        <f t="shared" si="28"/>
        <v>#DIV/0!</v>
      </c>
      <c r="J49" s="112" t="e">
        <f>G45+G47+G49-I48-I46</f>
        <v>#DIV/0!</v>
      </c>
      <c r="L49" s="80">
        <v>5</v>
      </c>
      <c r="M49" s="171">
        <f>M22+M23+M24+M25+M26</f>
        <v>30.941400000000002</v>
      </c>
      <c r="N49" s="171">
        <f>N22+N23+N24+N25+N26</f>
        <v>2210.5769999999998</v>
      </c>
      <c r="O49" s="110">
        <f>O22+O24+O26-Q25-Q23</f>
        <v>10.509999999999991</v>
      </c>
      <c r="P49" s="94">
        <f t="shared" si="29"/>
        <v>550.39161999999999</v>
      </c>
      <c r="Q49" s="111">
        <f>(P22+P24+P26)-(R25+R23)</f>
        <v>87.099499999999921</v>
      </c>
      <c r="R49" s="87">
        <f t="shared" si="30"/>
        <v>644.4283200000001</v>
      </c>
      <c r="S49" s="112">
        <f>P45+P47+P49-R48-R46</f>
        <v>169.61561199999983</v>
      </c>
      <c r="U49" s="80">
        <v>5</v>
      </c>
      <c r="V49" s="171">
        <f>V22+V23+V24+V25+V26</f>
        <v>8.0136000000000003</v>
      </c>
      <c r="W49" s="171">
        <f>W22+W23+W24+W25+W26</f>
        <v>572.87699999999995</v>
      </c>
      <c r="X49" s="110">
        <f>X22+X24+X26-Z25-Z23</f>
        <v>4.9949999999999992</v>
      </c>
      <c r="Y49" s="94">
        <f t="shared" si="31"/>
        <v>189.41479999999999</v>
      </c>
      <c r="Z49" s="111">
        <f>(Y22+Y24+Y26)-(AA25+AA23)</f>
        <v>45.287999999999954</v>
      </c>
      <c r="AA49" s="87">
        <f t="shared" si="32"/>
        <v>221.77892499999999</v>
      </c>
      <c r="AB49" s="87">
        <f>Y45+Y47+Y49-AA48-AA46</f>
        <v>58.369905000000017</v>
      </c>
    </row>
    <row r="50" spans="3:28" x14ac:dyDescent="0.2">
      <c r="C50" s="80">
        <v>6</v>
      </c>
      <c r="D50" s="170">
        <f>D22+D23+D24+D25+D26+D27</f>
        <v>46.368000000000002</v>
      </c>
      <c r="E50" s="82">
        <f>E22+E23+E24+E25+E26+E27</f>
        <v>3314.76</v>
      </c>
      <c r="F50" s="84">
        <f>F23+F25+F27-H26-H24-H22</f>
        <v>8.5</v>
      </c>
      <c r="G50" s="178" t="e">
        <f t="shared" si="27"/>
        <v>#DIV/0!</v>
      </c>
      <c r="H50" s="90">
        <f>G23+G25+G27-I26-I24-I22</f>
        <v>58.288000000000011</v>
      </c>
      <c r="I50" s="87" t="e">
        <f t="shared" si="28"/>
        <v>#DIV/0!</v>
      </c>
      <c r="J50" s="87" t="e">
        <f>G46+G48+G50-I49-I47-I45</f>
        <v>#DIV/0!</v>
      </c>
      <c r="L50" s="80">
        <v>6</v>
      </c>
      <c r="M50" s="170">
        <f>M22+M23+M24+M25+M26+M27</f>
        <v>42.130899999999997</v>
      </c>
      <c r="N50" s="170">
        <f>N22+N23+N24+N25+N26+N27</f>
        <v>3009.9994999999999</v>
      </c>
      <c r="O50" s="84">
        <f>O23+O25+O27-Q26-Q24-Q22</f>
        <v>11.54</v>
      </c>
      <c r="P50" s="94">
        <f t="shared" si="29"/>
        <v>666.26354000000003</v>
      </c>
      <c r="Q50" s="90">
        <f>P23+P25+P27-R26-R24-R22</f>
        <v>91.269599999999855</v>
      </c>
      <c r="R50" s="87">
        <f t="shared" si="30"/>
        <v>780.09744000000001</v>
      </c>
      <c r="S50" s="112">
        <f>P46+P48+P50-R49-R47-R45</f>
        <v>181.87244799999974</v>
      </c>
      <c r="U50" s="80">
        <v>6</v>
      </c>
      <c r="V50" s="170">
        <f>V22+V23+V24+V25+V26+V27</f>
        <v>10.9116</v>
      </c>
      <c r="W50" s="170">
        <f>W22+W23+W24+W25+W26+W27</f>
        <v>780.04949999999997</v>
      </c>
      <c r="X50" s="84">
        <f>X23+X25+X27-Z26-Z24-Z22</f>
        <v>5.4549999999999983</v>
      </c>
      <c r="Y50" s="94">
        <f t="shared" si="31"/>
        <v>229.29159999999999</v>
      </c>
      <c r="Z50" s="90">
        <f>Y23+Y25+Y27-AA26-AA24-AA22</f>
        <v>48.30040000000001</v>
      </c>
      <c r="AA50" s="87">
        <f t="shared" si="32"/>
        <v>268.46922499999999</v>
      </c>
      <c r="AB50" s="87">
        <f>Y46+Y48+Y50-AA49-AA47-AA45</f>
        <v>62.587044999999989</v>
      </c>
    </row>
    <row r="51" spans="3:28" x14ac:dyDescent="0.2">
      <c r="C51" s="80">
        <v>7</v>
      </c>
      <c r="D51" s="171">
        <f>D22+D23+D24+D25+D26+D27+D28</f>
        <v>63.126000000000005</v>
      </c>
      <c r="E51" s="109">
        <f>E22+E23+E24+E25+E26+E27+E28</f>
        <v>4512.7575000000006</v>
      </c>
      <c r="F51" s="110">
        <f>F22+F24+F26+F28-H27-H25-H23</f>
        <v>12</v>
      </c>
      <c r="G51" s="178" t="e">
        <f t="shared" si="27"/>
        <v>#DIV/0!</v>
      </c>
      <c r="H51" s="111">
        <f>G22+G24+G26+G28-I27-I25-I23</f>
        <v>83.586000000000013</v>
      </c>
      <c r="I51" s="112" t="e">
        <f t="shared" si="28"/>
        <v>#DIV/0!</v>
      </c>
      <c r="J51" s="112" t="e">
        <f>G45+G47+G49+G51-I50-I48-I46</f>
        <v>#DIV/0!</v>
      </c>
      <c r="L51" s="80">
        <v>7</v>
      </c>
      <c r="M51" s="171">
        <f>M22+M23+M24+M25+M26+M27+M28</f>
        <v>55.266399999999997</v>
      </c>
      <c r="N51" s="171">
        <f>N22+N23+N24+N25+N26+N27+N28</f>
        <v>3948.4519999999998</v>
      </c>
      <c r="O51" s="110">
        <f>O22+O24+O26+O28-Q27-Q25-Q23</f>
        <v>11.359999999999992</v>
      </c>
      <c r="P51" s="94">
        <f t="shared" si="29"/>
        <v>782.13546000000019</v>
      </c>
      <c r="Q51" s="111">
        <f>P22+P24+P26+P28-R27-R25-R23</f>
        <v>82.463999999999942</v>
      </c>
      <c r="R51" s="87">
        <f t="shared" si="30"/>
        <v>915.76656000000014</v>
      </c>
      <c r="S51" s="112">
        <f>P45+P47+P49+P51-R50-R48-R46</f>
        <v>171.65363200000002</v>
      </c>
      <c r="U51" s="80">
        <v>7</v>
      </c>
      <c r="V51" s="171">
        <f>V22+V23+V24+V25+V26+V27+V28</f>
        <v>14.313600000000001</v>
      </c>
      <c r="W51" s="171">
        <f>W22+W23+W24+W25+W26+W27+W28</f>
        <v>1023.252</v>
      </c>
      <c r="X51" s="110">
        <f>X22+X24+X26+X28-Z27-Z25-Z23</f>
        <v>5.3200000000000021</v>
      </c>
      <c r="Y51" s="94">
        <f t="shared" si="31"/>
        <v>269.16840000000002</v>
      </c>
      <c r="Z51" s="111">
        <f>Y22+Y24+Y26+Y28-AA27-AA25-AA23</f>
        <v>45.135999999999967</v>
      </c>
      <c r="AA51" s="87">
        <f t="shared" si="32"/>
        <v>315.15952500000003</v>
      </c>
      <c r="AB51" s="87">
        <f>Y45+Y47+Y49+Y51-AA50-AA48-AA46</f>
        <v>59.069080000000042</v>
      </c>
    </row>
    <row r="52" spans="3:28" x14ac:dyDescent="0.2">
      <c r="C52" s="80">
        <v>8</v>
      </c>
      <c r="D52" s="170">
        <f>D22+D23+D24+D25+D26+D27+D28+D29</f>
        <v>85.414140000000003</v>
      </c>
      <c r="E52" s="82">
        <f>E22+E23+E24+E25+E26+E27+E28+E29</f>
        <v>6106.0941750000011</v>
      </c>
      <c r="F52" s="84">
        <f>F23+F25+F27+F29-H28-H26-H24-H22</f>
        <v>13.820000000000022</v>
      </c>
      <c r="G52" s="178" t="e">
        <f t="shared" si="27"/>
        <v>#DIV/0!</v>
      </c>
      <c r="H52" s="90">
        <f>G23+G25+G27+G29-I22-I24-I26-I28</f>
        <v>89.199860000000172</v>
      </c>
      <c r="I52" s="87" t="e">
        <f t="shared" si="28"/>
        <v>#DIV/0!</v>
      </c>
      <c r="J52" s="87" t="e">
        <f>G46+G48+G50+G52-I51-I49-I47-I45</f>
        <v>#DIV/0!</v>
      </c>
      <c r="L52" s="80">
        <v>8</v>
      </c>
      <c r="M52" s="170">
        <f>M22+M23+M24+M25+M26+M27+M28+M29</f>
        <v>71.320899999999995</v>
      </c>
      <c r="N52" s="170">
        <f>N22+N23+N24+N25+N26+N27+N28+N29</f>
        <v>5095.4494999999997</v>
      </c>
      <c r="O52" s="84">
        <f>O23+O25+O27+O29-Q28-Q26-Q24-Q22</f>
        <v>14.689999999999976</v>
      </c>
      <c r="P52" s="94">
        <f t="shared" si="29"/>
        <v>955.94334000000003</v>
      </c>
      <c r="Q52" s="90">
        <f>P23+P25+P27+P29-R22-R24-R26-R28</f>
        <v>106.71509999999989</v>
      </c>
      <c r="R52" s="87">
        <f t="shared" si="30"/>
        <v>1119.2702400000001</v>
      </c>
      <c r="S52" s="112">
        <f>P46+P48+P50+P52-R51-R49-R47-R45</f>
        <v>222.04922799999997</v>
      </c>
      <c r="U52" s="80">
        <v>8</v>
      </c>
      <c r="V52" s="170">
        <f>V22+V23+V24+V25+V26+V27+V28+V29</f>
        <v>18.471600000000002</v>
      </c>
      <c r="W52" s="170">
        <f>W22+W23+W24+W25+W26+W27+W28+W29</f>
        <v>1320.4994999999999</v>
      </c>
      <c r="X52" s="84">
        <f>X23+X25+X27+X29-Z28-Z26-Z24-Z22</f>
        <v>6.8799999999999955</v>
      </c>
      <c r="Y52" s="94">
        <f t="shared" si="31"/>
        <v>328.98359999999997</v>
      </c>
      <c r="Z52" s="90">
        <f>Y23+Y25+Y27+Y29-AA22-AA24-AA26-AA28</f>
        <v>58.392399999999952</v>
      </c>
      <c r="AA52" s="87">
        <f t="shared" si="32"/>
        <v>385.194975</v>
      </c>
      <c r="AB52" s="87">
        <f>Y46+Y48+Y50+Y52-AA51-AA49-AA47-AA45</f>
        <v>76.411119999999869</v>
      </c>
    </row>
    <row r="53" spans="3:28" x14ac:dyDescent="0.2">
      <c r="C53" s="80">
        <v>9</v>
      </c>
      <c r="D53" s="171">
        <f>D22+D23+D24+D25+D26+D27+D28+D29+D30</f>
        <v>115.05736620000002</v>
      </c>
      <c r="E53" s="109">
        <f>E22+E23+E24+E25+E26+E27+E28+E29+E30</f>
        <v>8225.2319527500022</v>
      </c>
      <c r="F53" s="110">
        <f>F22+F24+F26+F28+F30-H29-H27-H25-H23</f>
        <v>19.075600000000009</v>
      </c>
      <c r="G53" s="178" t="e">
        <f t="shared" si="27"/>
        <v>#DIV/0!</v>
      </c>
      <c r="H53" s="111">
        <f>G22+G24+G26+G28+G30-I29-I27-I25-I23</f>
        <v>124.69877380000003</v>
      </c>
      <c r="I53" s="112" t="e">
        <f t="shared" si="28"/>
        <v>#DIV/0!</v>
      </c>
      <c r="J53" s="112" t="e">
        <f>G45+G47+G49+G51+G53-I52-I50-I48-I46</f>
        <v>#DIV/0!</v>
      </c>
      <c r="L53" s="80">
        <v>9</v>
      </c>
      <c r="M53" s="171">
        <f>M22+M23+M24+M25+M26+M27+M28+M29+M30</f>
        <v>92.726900000000001</v>
      </c>
      <c r="N53" s="171">
        <f>N22+N23+N24+N25+N26+N27+N28+N29+N30</f>
        <v>6624.7794999999996</v>
      </c>
      <c r="O53" s="110">
        <f>O22+O24+O26+O28+O30-Q29-Q27-Q25-Q23</f>
        <v>21.260000000000005</v>
      </c>
      <c r="P53" s="94">
        <f t="shared" si="29"/>
        <v>1274.5911200000003</v>
      </c>
      <c r="Q53" s="111">
        <f>P22+P24+P26+P28+P30-R29-R27-R25-R23</f>
        <v>160.05799999999999</v>
      </c>
      <c r="R53" s="87">
        <f t="shared" si="30"/>
        <v>1492.3603200000002</v>
      </c>
      <c r="S53" s="112">
        <f>P45+P47+P49+P51+P53-R52-R50-R48-R46</f>
        <v>326.97451200000046</v>
      </c>
      <c r="U53" s="80">
        <v>9</v>
      </c>
      <c r="V53" s="171">
        <f>V22+V23+V24+V25+V26+V27+V28+V29+V30</f>
        <v>24.015600000000003</v>
      </c>
      <c r="W53" s="171">
        <f>W22+W23+W24+W25+W26+W27+W28+W29+W30</f>
        <v>1716.8294999999998</v>
      </c>
      <c r="X53" s="110">
        <f>X22+X24+X26+X28+X30-Z29-Z27-Z25-Z23</f>
        <v>9.9950000000000063</v>
      </c>
      <c r="Y53" s="94">
        <f t="shared" si="31"/>
        <v>438.64480000000003</v>
      </c>
      <c r="Z53" s="111">
        <f>Y22+Y24+Y26+Y28+Y30-AA29-AA27-AA25-AA23</f>
        <v>86.342000000000041</v>
      </c>
      <c r="AA53" s="87">
        <f t="shared" si="32"/>
        <v>513.5933</v>
      </c>
      <c r="AB53" s="87">
        <f>Y45+Y47+Y49+Y51+Y53-AA52-AA50-AA48-AA46</f>
        <v>112.51890500000007</v>
      </c>
    </row>
    <row r="54" spans="3:28" x14ac:dyDescent="0.2">
      <c r="C54" s="80">
        <v>10</v>
      </c>
      <c r="D54" s="170">
        <f>D23+D24+D25+D26+D27+D28+D29+D30+D31+D22</f>
        <v>154.48285704600002</v>
      </c>
      <c r="E54" s="82">
        <f>E22+E23+E24+E25+E26+E27+E28+E29+E30+E31</f>
        <v>11043.685197157503</v>
      </c>
      <c r="F54" s="84">
        <f>F23+F25+F27+F29+F31-H30-H28-H26-H24-H22</f>
        <v>23.230547999999999</v>
      </c>
      <c r="G54" s="178" t="e">
        <f t="shared" si="27"/>
        <v>#DIV/0!</v>
      </c>
      <c r="H54" s="90">
        <f>G23+G25+G27+G29+G31-I30-I28-I26-I24-I22</f>
        <v>143.87984915400034</v>
      </c>
      <c r="I54" s="87" t="e">
        <f t="shared" si="28"/>
        <v>#DIV/0!</v>
      </c>
      <c r="J54" s="87" t="e">
        <f>G46+G48+G50+G52+G54-I53-I51-I49-I47-I45</f>
        <v>#DIV/0!</v>
      </c>
      <c r="L54" s="80">
        <v>10</v>
      </c>
      <c r="M54" s="170">
        <f>M23+M24+M25+M26+M27+M28+M29+M30+M31+M22</f>
        <v>116.48756</v>
      </c>
      <c r="N54" s="170">
        <f>N22+N23+N24+N25+N26+N27+N28+N29+N30+N31</f>
        <v>8322.3358000000007</v>
      </c>
      <c r="O54" s="84">
        <f>O23+O25+O27+O29+O31-Q30-Q28-Q26-Q24-Q22</f>
        <v>11.675999999999995</v>
      </c>
      <c r="P54" s="94">
        <f t="shared" si="29"/>
        <v>1414.7961432000006</v>
      </c>
      <c r="Q54" s="90">
        <f>P23+P25+P27+P29+P31-R30-R28-R26-R24-R22</f>
        <v>52.814440000000104</v>
      </c>
      <c r="R54" s="87">
        <f t="shared" si="30"/>
        <v>1656.5199552000006</v>
      </c>
      <c r="S54" s="112">
        <f>P46+P48+P50+P52+P54-R53-R51-R49-R47-R45</f>
        <v>144.48505120000038</v>
      </c>
      <c r="U54" s="80">
        <v>10</v>
      </c>
      <c r="V54" s="170">
        <f>V23+V24+V25+V26+V27+V28+V29+V30+V31+V22</f>
        <v>30.169440000000005</v>
      </c>
      <c r="W54" s="170">
        <f>W22+W23+W24+W25+W26+W27+W28+W29+W30+W31</f>
        <v>2156.7557999999999</v>
      </c>
      <c r="X54" s="84">
        <f>X23+X25+X27+X29+X31-Z30-Z28-Z26-Z24-Z22</f>
        <v>5.2520000000000095</v>
      </c>
      <c r="Y54" s="94">
        <f t="shared" si="31"/>
        <v>486.89572800000013</v>
      </c>
      <c r="Z54" s="90">
        <f>Y23+Y25+Y27+Y29+Y31-AA30-AA28-AA26-AA24-AA22</f>
        <v>35.958560000000006</v>
      </c>
      <c r="AA54" s="87">
        <f t="shared" si="32"/>
        <v>570.08856300000014</v>
      </c>
      <c r="AB54" s="87">
        <f>Y46+Y48+Y50+Y52+Y54-AA53-AA51-AA49-AA47-AA45</f>
        <v>49.71354800000006</v>
      </c>
    </row>
    <row r="55" spans="3:28" x14ac:dyDescent="0.2">
      <c r="C55" s="80">
        <v>11</v>
      </c>
      <c r="D55" s="171">
        <f>D24+D25+D26+D27+D28+D29+D30+D31+D32+D23+D22</f>
        <v>206.91875987118007</v>
      </c>
      <c r="E55" s="109">
        <f>E22+E23+E24+E25+E26+E27+E28+E29+E30+E31+E32</f>
        <v>14792.228012219481</v>
      </c>
      <c r="F55" s="110">
        <f>F22+F24+F26+F28+F30+F32-H31-H29-H27-H25-H23</f>
        <v>31.591628840000055</v>
      </c>
      <c r="G55" s="178" t="e">
        <f t="shared" si="27"/>
        <v>#DIV/0!</v>
      </c>
      <c r="H55" s="111">
        <f>G22+G24+G26+G28+G30+G32-I31-I29-I27-I25-I23</f>
        <v>197.42315937482022</v>
      </c>
      <c r="I55" s="112" t="e">
        <f t="shared" si="28"/>
        <v>#DIV/0!</v>
      </c>
      <c r="J55" s="112" t="e">
        <f>G45+G47+G49+G51+G53+G55-I54-I52-I50-I48-I46</f>
        <v>#DIV/0!</v>
      </c>
      <c r="L55" s="80">
        <v>11</v>
      </c>
      <c r="M55" s="171">
        <f>M24+M25+M26+M27+M28+M29+M30+M31+M32+M23+M22</f>
        <v>142.86189260000003</v>
      </c>
      <c r="N55" s="171">
        <f>N22+N23+N24+N25+N26+N27+N28+N29+N30+N31+N32</f>
        <v>10206.623293000001</v>
      </c>
      <c r="O55" s="110">
        <f>O22+O24+O26+O28+O30+O32-Q31-Q29-Q27-Q25-Q23</f>
        <v>17.914460000000005</v>
      </c>
      <c r="P55" s="94">
        <f t="shared" si="29"/>
        <v>1570.4237189520006</v>
      </c>
      <c r="Q55" s="111">
        <f>P22+P24+P26+P28+P30+P32-R31-R29-R27-R25-R23</f>
        <v>100.22826740000005</v>
      </c>
      <c r="R55" s="87">
        <f t="shared" si="30"/>
        <v>1838.7371502720009</v>
      </c>
      <c r="S55" s="112">
        <f>P45+P47+P49+P51+P53+P55-R54-R52-R50-R48-R46</f>
        <v>240.87827575200095</v>
      </c>
      <c r="U55" s="80">
        <v>11</v>
      </c>
      <c r="V55" s="171">
        <f>V24+V25+V26+V27+V28+V29+V30+V31+V32+V23+V22</f>
        <v>37.000202400000006</v>
      </c>
      <c r="W55" s="171">
        <f>W22+W23+W24+W25+W26+W27+W28+W29+W30+W31+W32</f>
        <v>2645.073993</v>
      </c>
      <c r="X55" s="110">
        <f>X22+X24+X26+X28+X30+X32-Z31-Z29-Z27-Z25-Z23</f>
        <v>8.187919999999993</v>
      </c>
      <c r="Y55" s="94">
        <f t="shared" si="31"/>
        <v>540.45425808000016</v>
      </c>
      <c r="Z55" s="111">
        <f>Y22+Y24+Y26+Y28+Y30+Y32-AA31-AA29-AA27-AA25-AA23</f>
        <v>61.440437599999939</v>
      </c>
      <c r="AA55" s="87">
        <f t="shared" si="32"/>
        <v>632.7983049300002</v>
      </c>
      <c r="AB55" s="87">
        <f>Y45+Y47+Y49+Y51+Y53+Y55-AA54-AA52-AA50-AA48-AA46</f>
        <v>82.884600080000098</v>
      </c>
    </row>
    <row r="56" spans="3:28" s="42" customFormat="1" x14ac:dyDescent="0.2">
      <c r="C56" s="81">
        <v>12</v>
      </c>
      <c r="D56" s="170">
        <f>D25+D26+D27+D28+D29+D30+D31+D32+D33+D24+D23+D22</f>
        <v>276.65851062866949</v>
      </c>
      <c r="E56" s="83">
        <f>SUM(E22:E33)</f>
        <v>19777.789956251909</v>
      </c>
      <c r="F56" s="85">
        <f>F23+F25+F27+F29+F31+F33-H32-H30-H28-H26-H24-H22</f>
        <v>39.876866357199958</v>
      </c>
      <c r="G56" s="178" t="e">
        <f t="shared" si="27"/>
        <v>#DIV/0!</v>
      </c>
      <c r="H56" s="90">
        <f>G23+G25+G27+G29+G31+G33-I32-I30-I28-I26-I24-I22</f>
        <v>240.60328196851128</v>
      </c>
      <c r="I56" s="87" t="e">
        <f t="shared" si="28"/>
        <v>#DIV/0!</v>
      </c>
      <c r="J56" s="112" t="e">
        <f>G46+G48+G50+G52+G54+G56-I55-I53-I51-I49-I47-I45</f>
        <v>#DIV/0!</v>
      </c>
      <c r="L56" s="81">
        <v>12</v>
      </c>
      <c r="M56" s="170">
        <f>M25+M26+M27+M28+M29+M30+M31+M32+M33+M24+M23+M22</f>
        <v>172.13740178600005</v>
      </c>
      <c r="N56" s="170">
        <f>SUM(N22:N33)</f>
        <v>12298.182410230002</v>
      </c>
      <c r="O56" s="85">
        <f>O23+O25+O27+O29+O31+O33-Q32-Q30-Q28-Q26-Q24-Q22</f>
        <v>7.9624505999999613</v>
      </c>
      <c r="P56" s="94">
        <f t="shared" si="29"/>
        <v>1743.170328036721</v>
      </c>
      <c r="Q56" s="90">
        <f>P23+P25+P27+P29+P31+P33-R32-R30-R28-R26-R24-R22</f>
        <v>-13.596563185999912</v>
      </c>
      <c r="R56" s="87">
        <f t="shared" si="30"/>
        <v>2040.9982368019214</v>
      </c>
      <c r="S56" s="112">
        <f>P46+P48+P50+P52+P54+P56-R55-R53-R51-R49-R47-R45</f>
        <v>48.918228964720242</v>
      </c>
      <c r="U56" s="81">
        <v>12</v>
      </c>
      <c r="V56" s="170">
        <f>V25+V26+V27+V28+V29+V30+V31+V32+V33+V24+V23+V22</f>
        <v>44.582348664000008</v>
      </c>
      <c r="W56" s="170">
        <f>SUM(W22:W33)</f>
        <v>3187.1071872300004</v>
      </c>
      <c r="X56" s="85">
        <f>X23+X25+X27+X29+X31+X33-Z32-Z30-Z28-Z26-Z24-Z22</f>
        <v>3.2461412000000109</v>
      </c>
      <c r="Y56" s="94">
        <f t="shared" si="31"/>
        <v>599.90422646880029</v>
      </c>
      <c r="Z56" s="90">
        <f>Y23+Y25+Y27+Y29+Y31+Y33-AA32-AA30-AA28-AA26-AA24-AA22</f>
        <v>8.3178257360000032</v>
      </c>
      <c r="AA56" s="87">
        <f t="shared" si="32"/>
        <v>702.40611847230036</v>
      </c>
      <c r="AB56" s="95">
        <f>Y46+Y48+Y50+Y52+Y54+Y56-AA55-AA53-AA51-AA49-AA47-AA45</f>
        <v>16.819469538800234</v>
      </c>
    </row>
    <row r="57" spans="3:28" s="42" customFormat="1" x14ac:dyDescent="0.2">
      <c r="C57" s="81">
        <v>13</v>
      </c>
      <c r="D57" s="171">
        <f>D26+D27+D28+D29+D30+D31+D32+D33+D34+D25+D24+D23+D22</f>
        <v>369.41237913613043</v>
      </c>
      <c r="E57" s="109">
        <f>SUM(E22:E34)</f>
        <v>26408.58734181504</v>
      </c>
      <c r="F57" s="110">
        <f>F22+F24+F26+F28+F30+F32+F34-H33-H31-H29-H27-H25-H23</f>
        <v>53.731232255076009</v>
      </c>
      <c r="G57" s="178" t="e">
        <f t="shared" si="27"/>
        <v>#DIV/0!</v>
      </c>
      <c r="H57" s="111">
        <f>G22+G24+G26+G28+G30+G32+G34-I33-I31-I29-I27-I25-I23</f>
        <v>326.06532501811967</v>
      </c>
      <c r="I57" s="112" t="e">
        <f t="shared" si="28"/>
        <v>#DIV/0!</v>
      </c>
      <c r="J57" s="112" t="e">
        <f>G45+G47+G49+G51+G53+G55+G57-I56-I54-I52-I50-I48-I46</f>
        <v>#DIV/0!</v>
      </c>
      <c r="L57" s="81">
        <v>13</v>
      </c>
      <c r="M57" s="171">
        <f>M26+M27+M28+M29+M30+M31+M32+M33+M34+M25+M24+M23+M22</f>
        <v>204.63321698246008</v>
      </c>
      <c r="N57" s="171">
        <f>SUM(N22:N34)</f>
        <v>14619.813030355303</v>
      </c>
      <c r="O57" s="110">
        <f>O22+O24+O26+O28+O30+O32+O34-Q33-Q31-Q29-Q27-Q25-Q23</f>
        <v>13.792420166000042</v>
      </c>
      <c r="P57" s="94">
        <f t="shared" si="29"/>
        <v>1934.9190641207606</v>
      </c>
      <c r="Q57" s="111">
        <f>P22+P24+P26+P28+P30+P32+P34-R33-R31-R29-R27-R25-R23</f>
        <v>26.51205386353945</v>
      </c>
      <c r="R57" s="87">
        <f t="shared" si="30"/>
        <v>2265.5080428501328</v>
      </c>
      <c r="S57" s="112">
        <f>P45+P47+P49+P51+P53+P55+P57-R56-R54-R52-R50-R48-R46</f>
        <v>134.79910307083969</v>
      </c>
      <c r="U57" s="81">
        <v>13</v>
      </c>
      <c r="V57" s="171">
        <f>V26+V27+V28+V29+V30+V31+V32+V33+V34+V25+V24+V23+V22</f>
        <v>52.998531017040023</v>
      </c>
      <c r="W57" s="171">
        <f>SUM(W22:W34)</f>
        <v>3788.764032825301</v>
      </c>
      <c r="X57" s="110">
        <f>X22+X24+X26+X28+X30+X32+X34-Z33-Z31-Z29-Z27-Z25-Z23</f>
        <v>5.9614167320000053</v>
      </c>
      <c r="Y57" s="94">
        <f t="shared" si="31"/>
        <v>665.89369138036841</v>
      </c>
      <c r="Z57" s="111">
        <f>Y22+Y24+Y26+Y28+Y30+Y32+Y34-AA33-AA31-AA29-AA27-AA25-AA23</f>
        <v>30.759222566959977</v>
      </c>
      <c r="AA57" s="87">
        <f t="shared" si="32"/>
        <v>779.67079150425343</v>
      </c>
      <c r="AB57" s="95">
        <f>Y45+Y47+Y49+Y51+Y53+Y55+Y57-AA56-AA54-AA52-AA50-AA48-AA46</f>
        <v>46.372172988068371</v>
      </c>
    </row>
    <row r="58" spans="3:28" s="42" customFormat="1" x14ac:dyDescent="0.2">
      <c r="C58" s="81">
        <v>14</v>
      </c>
      <c r="D58" s="170">
        <f>D27+D28+D29+D30+D31+D32+D33+D34+D35+D26+D25+D24+D23+D22</f>
        <v>492.77502425105354</v>
      </c>
      <c r="E58" s="83">
        <f>SUM(E22:E35)</f>
        <v>35227.547864614004</v>
      </c>
      <c r="F58" s="85">
        <f>F23+F25+F27+F29+F31+F33+F35-H34-H32-H30-H28-H26-H24-H22</f>
        <v>69.322538899251128</v>
      </c>
      <c r="G58" s="178" t="e">
        <f t="shared" si="27"/>
        <v>#DIV/0!</v>
      </c>
      <c r="H58" s="90">
        <f>G23+G25+G27+G29+G31+G33+G35-I34-I32-I30--I28-I26-I24-I22</f>
        <v>2074.1973622740989</v>
      </c>
      <c r="I58" s="87" t="e">
        <f t="shared" si="28"/>
        <v>#DIV/0!</v>
      </c>
      <c r="J58" s="112" t="e">
        <f>G46+G48+G50+G52+G54+G56+G58-I57-I55-I53-I51-I49-I47-I45</f>
        <v>#DIV/0!</v>
      </c>
      <c r="L58" s="81">
        <v>14</v>
      </c>
      <c r="M58" s="170">
        <f>M27+M28+M29+M30+M31+M32+M33+M34+M35+M26+M25+M24+M23+M22</f>
        <v>240.70357185053072</v>
      </c>
      <c r="N58" s="170">
        <f>SUM(N22:N35)</f>
        <v>17196.823018694387</v>
      </c>
      <c r="O58" s="85">
        <f>O23+O25+O27+O29+O31+O33+O35-Q34-Q32-Q30-Q28-Q26-Q24-Q22</f>
        <v>3.3869863842599912</v>
      </c>
      <c r="P58" s="94">
        <f t="shared" si="29"/>
        <v>2147.7601611740442</v>
      </c>
      <c r="Q58" s="90">
        <f>P23+P25+P27+P29+P31+P33+P35-R34-R32-R30--R28-R26-R24-R22</f>
        <v>930.57843978852952</v>
      </c>
      <c r="R58" s="87">
        <f t="shared" si="30"/>
        <v>2514.7139275636478</v>
      </c>
      <c r="S58" s="112">
        <f>P46+P48+P50+P52+P54+P56+P58-R57-R55-R53-R51-R49-R47-R45</f>
        <v>-68.82965271136834</v>
      </c>
      <c r="U58" s="81">
        <v>14</v>
      </c>
      <c r="V58" s="170">
        <f>V27+V28+V29+V30+V31+V32+V33+V34+V35+V26+V25+V24+V23+V22</f>
        <v>62.340493428914421</v>
      </c>
      <c r="W58" s="170">
        <f>SUM(W22:W35)</f>
        <v>4456.6031314360844</v>
      </c>
      <c r="X58" s="85">
        <f>X23+X25+X27+X29+X31+X33+X35-Z34-Z32-Z30-Z28-Z26-Z24-Z22</f>
        <v>0.77472257252003374</v>
      </c>
      <c r="Y58" s="94">
        <f t="shared" si="31"/>
        <v>739.141997432209</v>
      </c>
      <c r="Z58" s="90">
        <f>Y23+Y25+Y27+Y29+Y31+Y33+Y35-AA34-AA32-AA30--AA28-AA26-AA24-AA22</f>
        <v>473.76167704932573</v>
      </c>
      <c r="AA58" s="87">
        <f t="shared" si="32"/>
        <v>865.43457856972145</v>
      </c>
      <c r="AB58" s="95">
        <f>Y46+Y48+Y50+Y52+Y54+Y56+Y58-AA57-AA55-AA53-AA51-AA49-AA47-AA45</f>
        <v>-23.709324533244313</v>
      </c>
    </row>
    <row r="59" spans="3:28" s="42" customFormat="1" x14ac:dyDescent="0.2">
      <c r="C59" s="81">
        <v>15</v>
      </c>
      <c r="D59" s="171">
        <f>D28+D29+D30+D31+D32+D33+D34+D35+D36+D27+D26+D25+D24+D23+D22</f>
        <v>656.84734225390127</v>
      </c>
      <c r="E59" s="109">
        <f>SUM(E22:E36)</f>
        <v>46956.765359936631</v>
      </c>
      <c r="F59" s="110">
        <f>F22+F24+F26+F28+F30+F32+F34+F36-H35-H33-H31-H29-H27-H25-H23</f>
        <v>92.893976736004163</v>
      </c>
      <c r="G59" s="178" t="e">
        <f t="shared" si="27"/>
        <v>#DIV/0!</v>
      </c>
      <c r="H59" s="111">
        <f>G22+G24+G26+G28+G30+G32+G34+G36-I35-I33-I31-I29-I27-I25-I23</f>
        <v>553.62045182455154</v>
      </c>
      <c r="I59" s="112" t="e">
        <f t="shared" si="28"/>
        <v>#DIV/0!</v>
      </c>
      <c r="J59" s="112" t="e">
        <f>G45+G47+G49+G51+G53+G55+G57+G59-I58-I56-I54-I52-I50-I48-I46</f>
        <v>#DIV/0!</v>
      </c>
      <c r="L59" s="81">
        <v>15</v>
      </c>
      <c r="M59" s="171">
        <f>M28+M29+M30+M31+M32+M33+M34+M35+M36+M27+M26+M25+M24+M23+M22</f>
        <v>281.56957185053074</v>
      </c>
      <c r="N59" s="171">
        <f>SUM(N22:N36)</f>
        <v>20116.453018694388</v>
      </c>
      <c r="O59" s="110">
        <f>O22+O24+O26+O28+O30+O32+O34+O36-Q35-Q33-Q31-Q29-Q27-Q25-Q23</f>
        <v>11.521558399639822</v>
      </c>
      <c r="P59" s="94">
        <f t="shared" si="29"/>
        <v>2433.31032</v>
      </c>
      <c r="Q59" s="111">
        <f>P22+P24+P26+P28+P30+P32+P34+P36-R35-R33-R31-R29-R27-R25-R23</f>
        <v>-37.062563800061696</v>
      </c>
      <c r="R59" s="87">
        <f t="shared" si="30"/>
        <v>2849.0515200000004</v>
      </c>
      <c r="S59" s="112">
        <f>P45+P47+P49+P51+P53+P55+P57+P59-R58-R56-R54-R52-R50-R48-R46</f>
        <v>53.395495507192891</v>
      </c>
      <c r="U59" s="81">
        <v>15</v>
      </c>
      <c r="V59" s="171">
        <f>V28+V29+V30+V31+V32+V33+V34+V35+V36+V27+V26+V25+V24+V23+V22</f>
        <v>72.924493428914417</v>
      </c>
      <c r="W59" s="171">
        <f>SUM(W22:W36)</f>
        <v>5213.2331314360845</v>
      </c>
      <c r="X59" s="110">
        <f>X22+X24+X26+X28+X30+X32+X34+X36-Z35-Z33-Z31-Z29-Z27-Z25-Z23</f>
        <v>4.5795498194299586</v>
      </c>
      <c r="Y59" s="94">
        <f t="shared" si="31"/>
        <v>837.41280000000006</v>
      </c>
      <c r="Z59" s="111">
        <f>Y22+Y24+Y26+Y28+Y30+Y32+Y34+Y36-AA35-AA33-AA31-AA29-AA27-AA25-AA23</f>
        <v>6.3565534412595639</v>
      </c>
      <c r="AA59" s="87">
        <f t="shared" si="32"/>
        <v>980.49630000000002</v>
      </c>
      <c r="AB59" s="95">
        <f>Y45+Y47+Y49+Y51+Y53+Y55+Y57+Y59-AA58-AA56-AA54-AA52-AA50-AA48-AA46</f>
        <v>18.35039441834698</v>
      </c>
    </row>
    <row r="60" spans="3:28" s="42" customFormat="1" x14ac:dyDescent="0.2">
      <c r="C60" s="115">
        <v>16</v>
      </c>
      <c r="D60" s="170">
        <f>D29+D30+D31+D32+D33+D34+D35+D36+D37+D28+D27+D26+D25+D24+D23+D22</f>
        <v>875.06352519768882</v>
      </c>
      <c r="E60" s="83">
        <f>SUM(E22:E37)</f>
        <v>62556.624628715726</v>
      </c>
      <c r="F60" s="116">
        <f>F23+F25+F27+F29+F31+F33+F35+F37-H36-H34-H32-H30-H28-H26-H24-H22</f>
        <v>121.40898905888542</v>
      </c>
      <c r="G60" s="178" t="e">
        <f t="shared" si="27"/>
        <v>#DIV/0!</v>
      </c>
      <c r="H60" s="91">
        <f>G23+G25+G27+G29+G31+G33+G35+G37-I36-I34-I32-I30-I28-I26-I24-I22</f>
        <v>714.34568092665359</v>
      </c>
      <c r="I60" s="87" t="e">
        <f t="shared" si="28"/>
        <v>#DIV/0!</v>
      </c>
      <c r="J60" s="112" t="e">
        <f>G46+G48+G50+G52+G54+G56+G58+G60-I59-I57-I55-I53-I51-I49-I47-I45</f>
        <v>#DIV/0!</v>
      </c>
      <c r="K60" s="57"/>
      <c r="L60" s="115">
        <v>16</v>
      </c>
      <c r="M60" s="170">
        <f>M29+M30+M31+M32+M33+M34+M35+M36+M37+M28+M27+M26+M25+M24+M23+M22</f>
        <v>336.05757185053073</v>
      </c>
      <c r="N60" s="170">
        <f>SUM(N22:N37)</f>
        <v>24009.293018694389</v>
      </c>
      <c r="O60" s="116">
        <f>O23+O25+O27+O29+O31+O33+O35+O37-Q36-Q34-Q32-Q30-Q28-Q26-Q24-Q22</f>
        <v>28.586986384259895</v>
      </c>
      <c r="P60" s="94">
        <f t="shared" si="29"/>
        <v>3244.4137600000004</v>
      </c>
      <c r="Q60" s="91">
        <f>P23+P25+P27+P29+P31+P33+P35+P37-R36-R34-R32-R30-R28-R26-R24-R22</f>
        <v>102.09043978852969</v>
      </c>
      <c r="R60" s="87">
        <f t="shared" si="30"/>
        <v>3798.7353600000001</v>
      </c>
      <c r="S60" s="112">
        <f>P46+P48+P50+P52+P54+P56+P58+P60-R59-R57-R55-R53-R51-R49-R47-R45</f>
        <v>326.53258728863022</v>
      </c>
      <c r="U60" s="115">
        <v>16</v>
      </c>
      <c r="V60" s="170">
        <f>V29+V30+V31+V32+V33+V34+V35+V36+V37+V28+V27+V26+V25+V24+V23+V22</f>
        <v>87.036493428914412</v>
      </c>
      <c r="W60" s="170">
        <f>SUM(W22:W37)</f>
        <v>6222.0731314360846</v>
      </c>
      <c r="X60" s="116">
        <f>X23+X25+X27+X29+X31+X33+X35+X37-Z36-Z34-Z32-Z30-Z28-Z26-Z24-Z22</f>
        <v>12.674722572520013</v>
      </c>
      <c r="Y60" s="94">
        <f t="shared" si="31"/>
        <v>1116.5503999999999</v>
      </c>
      <c r="Z60" s="91">
        <f>Y23+Y25+Y27+Y29+Y31+Y33+Y35+Y37-AA36-AA34-AA32-AA30-AA28-AA26-AA24-AA22</f>
        <v>79.149677049325632</v>
      </c>
      <c r="AA60" s="87">
        <f t="shared" si="32"/>
        <v>1307.3283999999999</v>
      </c>
      <c r="AB60" s="162">
        <f>Y46+Y48+Y50+Y52+Y54+Y56+Y58+Y60-AA59-AA57-AA55-AA53-AA51-AA49-AA47-AA45</f>
        <v>112.344775466756</v>
      </c>
    </row>
    <row r="61" spans="3:28" s="42" customFormat="1" x14ac:dyDescent="0.2">
      <c r="C61" s="115">
        <v>17</v>
      </c>
      <c r="D61" s="171">
        <f>D30+D31+D32+D33+D34+D35+D36+D37+D38+D29+D28+D27+D26+D25+D24+D23+D22</f>
        <v>1165.2910485129262</v>
      </c>
      <c r="E61" s="109">
        <f>SUM(E22:E38)</f>
        <v>83304.437456191925</v>
      </c>
      <c r="F61" s="117">
        <f>F22+F24+F26+F28+F30+F32+F34+F36+F38-H37-H35-H33-H31-H29-H27-H25-H23</f>
        <v>162.1689554483176</v>
      </c>
      <c r="G61" s="178" t="e">
        <f t="shared" si="27"/>
        <v>#DIV/0!</v>
      </c>
      <c r="H61" s="113">
        <f>G22+G24+G26+G28+G30+G32+G34+G36+G38-I37-I35-I33-I31-I29-I27-I25-I23</f>
        <v>956.14271563244893</v>
      </c>
      <c r="I61" s="112" t="e">
        <f t="shared" si="28"/>
        <v>#DIV/0!</v>
      </c>
      <c r="J61" s="112" t="e">
        <f>G45+G47+G49+G51+G53+G55+G57+G59+G61-I60-I58-I56-I54-I52-I50-I48-I46</f>
        <v>#DIV/0!</v>
      </c>
      <c r="K61" s="57"/>
      <c r="L61" s="115">
        <v>17</v>
      </c>
      <c r="M61" s="171">
        <f>M30+M31+M32+M33+M34+M35+M36+M37+M38+M29+M28+M27+M26+M25+M24+M23+M22</f>
        <v>401.24857185053071</v>
      </c>
      <c r="N61" s="171">
        <f>SUM(N22:N38)</f>
        <v>28666.79801869439</v>
      </c>
      <c r="O61" s="117">
        <f>O22+O24+O26+O28+O30+O32+O34+O36+O38-Q37-Q35-Q33-Q31-Q29-Q27-Q25-Q23</f>
        <v>19.821558399639898</v>
      </c>
      <c r="P61" s="94">
        <f t="shared" si="29"/>
        <v>3881.7093200000004</v>
      </c>
      <c r="Q61" s="113">
        <f>P22+P24+P26+P28+P30+P32+P34+P36+P38-R37-R35-R33-R31-R29-R27-R25-R23</f>
        <v>-19.253563800061499</v>
      </c>
      <c r="R61" s="87">
        <f t="shared" si="30"/>
        <v>4544.9155200000005</v>
      </c>
      <c r="S61" s="112">
        <f>P45+P47+P49+P51+P53+P55+P57+P59+P61-R60-R58-R56-R54-R52-R50-R48-R46</f>
        <v>136.36945550719224</v>
      </c>
      <c r="U61" s="115">
        <v>17</v>
      </c>
      <c r="V61" s="171">
        <f>V30+V31+V32+V33+V34+V35+V36+V37+V38+V29+V28+V27+V26+V25+V24+V23+V22</f>
        <v>103.92049342891441</v>
      </c>
      <c r="W61" s="171">
        <f>SUM(W22:W38)</f>
        <v>7429.0781314360847</v>
      </c>
      <c r="X61" s="117">
        <f>X22+X24+X26+X28+X30+X32+X34+X36+X38-Z37-Z35-Z33-Z31-Z29-Z27-Z25-Z23</f>
        <v>8.1795498194299245</v>
      </c>
      <c r="Y61" s="94">
        <f t="shared" si="31"/>
        <v>1335.8728000000001</v>
      </c>
      <c r="Z61" s="113">
        <f>Y22+Y24+Y26+Y28+Y30+Y32+Y34+Y36+Y38-AA37-AA35-AA33-AA31-AA29-AA27-AA25-AA23</f>
        <v>25.472553441259549</v>
      </c>
      <c r="AA61" s="87">
        <f t="shared" si="32"/>
        <v>1564.1250500000001</v>
      </c>
      <c r="AB61" s="162">
        <f>Y45+Y47+Y49+Y51+Y53+Y55+Y57+Y59+Y61-AA60-AA58-AA56-AA54-AA52-AA50-AA48-AA46</f>
        <v>46.894794418347203</v>
      </c>
    </row>
    <row r="62" spans="3:28" s="42" customFormat="1" x14ac:dyDescent="0.2">
      <c r="C62" s="81">
        <v>18</v>
      </c>
      <c r="D62" s="170">
        <f>D31+D32+D33+D34+D35+D36+D37+D38+D39+D30+D29+D28+D27+D26+D25+D24+D23+D22</f>
        <v>1551.2936545221921</v>
      </c>
      <c r="E62" s="83">
        <f>SUM(E22:E39)</f>
        <v>110899.02851673527</v>
      </c>
      <c r="F62" s="85">
        <f>F23+F25+F27+F29+F31+F33+F35+F37+F39-H38-H36-H34-H32-H30-H28-H26-H24-H22</f>
        <v>213.54471074626247</v>
      </c>
      <c r="G62" s="178" t="e">
        <f t="shared" si="27"/>
        <v>#DIV/0!</v>
      </c>
      <c r="H62" s="90">
        <f>G23+G25+G27+G29+G31+G33+G35+G37+G39-I38-I36-I34-I32-I30-I28-I26-I24-I22</f>
        <v>1249.700291791155</v>
      </c>
      <c r="I62" s="87" t="e">
        <f t="shared" si="28"/>
        <v>#DIV/0!</v>
      </c>
      <c r="J62" s="112" t="e">
        <f>G46+G48+G50+G52+G54+G56+G58+G60+G62-I61-I59-I57-I55-I53-I51-I49-I47-I45</f>
        <v>#DIV/0!</v>
      </c>
      <c r="K62" s="57"/>
      <c r="L62" s="81">
        <v>18</v>
      </c>
      <c r="M62" s="170">
        <f>M31+M32+M33+M34+M35+M36+M37+M38+M39+M30+M29+M28+M27+M26+M25+M24+M23+M22</f>
        <v>481.03457185053071</v>
      </c>
      <c r="N62" s="170">
        <f>SUM(N22:N39)</f>
        <v>34367.028018694386</v>
      </c>
      <c r="O62" s="85">
        <f>O23+O25+O27+O29+O31+O33+O35+O37+O39-Q38-Q36-Q34-Q32-Q30-Q28-Q26-Q24-Q22</f>
        <v>44.586986384259902</v>
      </c>
      <c r="P62" s="94">
        <f t="shared" si="29"/>
        <v>4750.7487199999996</v>
      </c>
      <c r="Q62" s="90">
        <f>P23+P25+P27+P29+P31+P33+P35+P37+P39-R38-R36-R34-R32-R30-R28-R26-R24-R22</f>
        <v>182.30443978852963</v>
      </c>
      <c r="R62" s="87">
        <f t="shared" si="30"/>
        <v>5562.4339200000004</v>
      </c>
      <c r="S62" s="112">
        <f>P46+P48+P50+P52+P54+P56+P58+P60+P62-R61-R59-R57-R55-R53-R51-R49-R47-R45</f>
        <v>532.36578728862946</v>
      </c>
      <c r="U62" s="81">
        <v>18</v>
      </c>
      <c r="V62" s="170">
        <f>V31+V32+V33+V34+V35+V36+V37+V38+V39+V30+V29+V28+V27+V26+V25+V24+V23+V22</f>
        <v>124.58449342891441</v>
      </c>
      <c r="W62" s="170">
        <f>SUM(W22:W39)</f>
        <v>8906.3081314360843</v>
      </c>
      <c r="X62" s="85">
        <f>X23+X25+X27+X29+X31+X33+X35+X37+X39-Z38-Z36-Z34-Z32-Z30-Z28-Z26-Z24-Z22</f>
        <v>19.924722572520011</v>
      </c>
      <c r="Y62" s="94">
        <f t="shared" si="31"/>
        <v>1634.9487999999999</v>
      </c>
      <c r="Z62" s="90">
        <f>Y23+Y25+Y27+Y29+Y31+Y33+Y35+Y37+Y39-AA38-AA36-AA34-AA32-AA30-AA28-AA26-AA24-AA22</f>
        <v>130.98567704932543</v>
      </c>
      <c r="AA62" s="87">
        <f t="shared" si="32"/>
        <v>1914.3022999999998</v>
      </c>
      <c r="AB62" s="95">
        <f>Y46+Y48+Y50+Y52+Y54+Y56+Y58+Y60+Y62-AA61-AA59-AA57-AA55-AA53-AA51-AA49-AA47-AA45</f>
        <v>183.16852546675557</v>
      </c>
    </row>
    <row r="63" spans="3:28" s="42" customFormat="1" x14ac:dyDescent="0.2">
      <c r="C63" s="81">
        <v>19</v>
      </c>
      <c r="D63" s="171">
        <f>D32+D33+D34+D35+D36+D37+D38+D39+D40+D31+D30+D29+D28+D27+D26+D25+D24+D23+D22</f>
        <v>2064.6771205145155</v>
      </c>
      <c r="E63" s="109">
        <f>SUM(E22:E40)</f>
        <v>147599.83462725792</v>
      </c>
      <c r="F63" s="110">
        <f>F22+F24+F26+F28+F30+F32+F34+F36+F38+F40-H39-H37-H35-H33-H31-H29-H27-H25-H23</f>
        <v>284.70946529252859</v>
      </c>
      <c r="G63" s="178" t="e">
        <f t="shared" si="27"/>
        <v>#DIV/0!</v>
      </c>
      <c r="H63" s="111">
        <f>G22+G24+G26+G28+G30+G32+G34+G36+G38+G40-I39-I37-I35-I33-I31-I29-I27-I25-I23</f>
        <v>1668.1643480822459</v>
      </c>
      <c r="I63" s="112" t="e">
        <f t="shared" si="28"/>
        <v>#DIV/0!</v>
      </c>
      <c r="J63" s="112" t="e">
        <f>G45+G47+G49+G51+G53+G55+G57+G59+G61+G63-I62-I60-I58-I56-I54-I52-I50-I48-I46</f>
        <v>#DIV/0!</v>
      </c>
      <c r="K63" s="57"/>
      <c r="L63" s="81">
        <v>19</v>
      </c>
      <c r="M63" s="171">
        <f>M32+M33+M34+M35+M36+M37+M38+M39+M40+M31+M30+M29+M28+M27+M26+M25+M24+M23+M22</f>
        <v>574.44257185053084</v>
      </c>
      <c r="N63" s="171">
        <f>SUM(N22:N40)</f>
        <v>41040.468018694388</v>
      </c>
      <c r="O63" s="110">
        <f>O22+O24+O26+O28+O30+O32+O34+O36+O38+O40-Q39-Q37-Q35-Q33-Q31-Q29-Q27-Q25-Q23</f>
        <v>25.021558399639943</v>
      </c>
      <c r="P63" s="94">
        <f t="shared" si="29"/>
        <v>5561.8521600000004</v>
      </c>
      <c r="Q63" s="111">
        <f>P22+P24+P26+P28+P30+P32+P34+P36+P38+P40-R39-R37-R35-R33-R31-R29-R27-R25-R23</f>
        <v>-60.661563800061856</v>
      </c>
      <c r="R63" s="87">
        <f t="shared" si="30"/>
        <v>6512.117760000001</v>
      </c>
      <c r="S63" s="112">
        <f>P45+P47+P49+P51+P53+P55+P57+P59+P61+P63-R62-R60-R58-R56-R54-R52-R50-R48-R46</f>
        <v>135.78769550719312</v>
      </c>
      <c r="U63" s="81">
        <v>19</v>
      </c>
      <c r="V63" s="171">
        <f>V32+V33+V34+V35+V36+V37+V38+V39+V40+V31+V30+V29+V28+V27+V26+V25+V24+V23+V22</f>
        <v>148.77649342891439</v>
      </c>
      <c r="W63" s="171">
        <f>SUM(W22:W40)</f>
        <v>10635.748131436085</v>
      </c>
      <c r="X63" s="110">
        <f>X22+X24+X26+X28+X30+X32+X34+X36+X38+X40-Z39-Z37-Z35-Z33-Z31-Z29-Z27-Z25-Z23</f>
        <v>10.079549819429902</v>
      </c>
      <c r="Y63" s="94">
        <f t="shared" si="31"/>
        <v>1914.0863999999999</v>
      </c>
      <c r="Z63" s="111">
        <f>Y22+Y24+Y26+Y28+Y30+Y32+Y34+Y36+Y38+Y40-AA39-AA37-AA35-AA33-AA31-AA29-AA27-AA25-AA23</f>
        <v>20.280553441259542</v>
      </c>
      <c r="AA63" s="87">
        <f t="shared" si="32"/>
        <v>2241.1343999999999</v>
      </c>
      <c r="AB63" s="95">
        <f>Y45+Y47+Y49+Y51+Y53+Y55+Y57+Y59+Y61+Y63-AA62-AA60-AA58-AA56-AA54-AA52-AA50-AA48-AA46</f>
        <v>46.678894418347056</v>
      </c>
    </row>
    <row r="64" spans="3:28" s="42" customFormat="1" ht="13.5" thickBot="1" x14ac:dyDescent="0.25">
      <c r="C64" s="118">
        <v>20</v>
      </c>
      <c r="D64" s="172">
        <f>D33+D34+D35+D36+D37+D38+D39+D40+D41+D32+D31+D30+D29+D28+D27+D26+D25+D24+D23+D22</f>
        <v>2747.4771302843051</v>
      </c>
      <c r="E64" s="88">
        <f>SUM(E22:E41)</f>
        <v>196411.90675425302</v>
      </c>
      <c r="F64" s="119">
        <f>F23+F25+F27+F29+F31+F33+F35+F37+F39+F41-H40-H38-H36-H34-H32-H30-H28-H26-H24-H22</f>
        <v>376.52358883906311</v>
      </c>
      <c r="G64" s="178" t="e">
        <f t="shared" si="27"/>
        <v>#DIV/0!</v>
      </c>
      <c r="H64" s="92">
        <f>G23+G25+G27+G29+G31+G33+G35+G37+G39+G41-I40-I38-I36-I34-I32-I30-I28-I26-I24-I22</f>
        <v>2196.6890629493673</v>
      </c>
      <c r="I64" s="97" t="e">
        <f t="shared" si="28"/>
        <v>#DIV/0!</v>
      </c>
      <c r="J64" s="120" t="e">
        <f>+G46+G48+G50+G52+G54+G56+G58+G60+G62+G64-I63-I61-I59-I57-I55-I53-I51-I49-I47-I45</f>
        <v>#DIV/0!</v>
      </c>
      <c r="K64" s="57"/>
      <c r="L64" s="118">
        <v>20</v>
      </c>
      <c r="M64" s="172">
        <f>M33+M34+M35+M36+M37+M38+M39+M40+M41+M32+M31+M30+M29+M28+M27+M26+M25+M24+M23+M22</f>
        <v>676.60757185053069</v>
      </c>
      <c r="N64" s="172">
        <f>SUM(N22:N41)</f>
        <v>48339.543018694385</v>
      </c>
      <c r="O64" s="119">
        <f>O23+O25+O27+O29+O31+O33+O35+O37+O39+O41-Q40-Q38-Q36-Q34-Q32-Q30-Q28-Q26-Q24-Q22</f>
        <v>26.28698638425994</v>
      </c>
      <c r="P64" s="94">
        <f t="shared" si="29"/>
        <v>6083.2758000000003</v>
      </c>
      <c r="Q64" s="92">
        <f>P23+P25+P27+P29+P31+P33+P35+P37+P39+P41-R40-R38-R36-R34-R32-R30-R28-R26-R24-R22</f>
        <v>-102.86056021147169</v>
      </c>
      <c r="R64" s="97">
        <f t="shared" si="30"/>
        <v>7122.6288000000013</v>
      </c>
      <c r="S64" s="120">
        <f>+P46+P48+P50+P52+P54+P56+P58+P60+P62+P64-R63-R61-R59-R57-R55-R53-R51-R49-R47-R45</f>
        <v>103.52382728862779</v>
      </c>
      <c r="U64" s="118">
        <v>20</v>
      </c>
      <c r="V64" s="172">
        <f>V33+V34+V35+V36+V37+V38+V39+V40+V41+V32+V31+V30+V29+V28+V27+V26+V25+V24+V23+V22</f>
        <v>175.2364934289144</v>
      </c>
      <c r="W64" s="172">
        <f>SUM(W22:W41)</f>
        <v>12527.323131436086</v>
      </c>
      <c r="X64" s="119">
        <f>X23+X25+X27+X29+X31+X33+X35+X37+X39+X41-Z40-Z38-Z36-Z34-Z32-Z30-Z28-Z26-Z24-Z22</f>
        <v>10.324722572520047</v>
      </c>
      <c r="Y64" s="94">
        <f t="shared" si="31"/>
        <v>2093.5320000000002</v>
      </c>
      <c r="Z64" s="92">
        <f>Y23+Y25+Y27+Y29+Y31+Y33+Y35+Y37+Y39+Y41-AA40-AA38-AA36-AA34-AA32-AA30-AA28-AA26-AA24-AA22</f>
        <v>8.5256770493253669</v>
      </c>
      <c r="AA64" s="87">
        <f t="shared" si="32"/>
        <v>2451.2407499999999</v>
      </c>
      <c r="AB64" s="96">
        <f>+Y46+Y48+Y50+Y52+Y54+Y56+Y58+Y60+Y62+Y64-AA63-AA61-AA59-AA57-AA55-AA53-AA51-AA49-AA47-AA45</f>
        <v>35.566125466755778</v>
      </c>
    </row>
    <row r="65" spans="3:28" s="42" customFormat="1" x14ac:dyDescent="0.2">
      <c r="C65" s="25"/>
      <c r="D65" s="23"/>
      <c r="E65" s="24"/>
      <c r="F65" s="60"/>
      <c r="G65" s="59"/>
      <c r="H65" s="78"/>
      <c r="I65" s="59"/>
      <c r="J65" s="60"/>
      <c r="K65" s="57"/>
      <c r="L65" s="57"/>
      <c r="M65" s="57"/>
      <c r="N65" s="57"/>
      <c r="AB65" s="160"/>
    </row>
    <row r="66" spans="3:28" s="42" customFormat="1" x14ac:dyDescent="0.2">
      <c r="C66" s="25"/>
      <c r="D66" s="23"/>
      <c r="E66" s="24"/>
      <c r="F66" s="60"/>
      <c r="G66" s="59"/>
      <c r="H66" s="78"/>
      <c r="I66" s="59"/>
      <c r="J66" s="60"/>
      <c r="K66" s="57"/>
      <c r="L66" s="57"/>
      <c r="M66" s="57"/>
      <c r="N66" s="57"/>
      <c r="AB66" s="160"/>
    </row>
    <row r="67" spans="3:28" s="42" customFormat="1" x14ac:dyDescent="0.2">
      <c r="C67" s="25"/>
      <c r="D67" s="23"/>
      <c r="E67" s="24"/>
      <c r="F67" s="60"/>
      <c r="G67" s="59"/>
      <c r="H67" s="78"/>
      <c r="I67" s="59"/>
      <c r="J67" s="60"/>
      <c r="K67" s="57"/>
      <c r="L67" s="57"/>
      <c r="M67" s="57"/>
      <c r="N67" s="57"/>
      <c r="AB67" s="160"/>
    </row>
    <row r="68" spans="3:28" s="42" customFormat="1" x14ac:dyDescent="0.2">
      <c r="C68" s="25"/>
      <c r="D68" s="23"/>
      <c r="E68" s="24"/>
      <c r="F68" s="60"/>
      <c r="G68" s="59"/>
      <c r="H68" s="78"/>
      <c r="I68" s="59"/>
      <c r="J68" s="60"/>
      <c r="K68" s="57"/>
      <c r="L68" s="57"/>
      <c r="M68" s="57"/>
      <c r="N68" s="57"/>
      <c r="AB68" s="160"/>
    </row>
    <row r="69" spans="3:28" s="42" customFormat="1" x14ac:dyDescent="0.2">
      <c r="C69" s="166"/>
      <c r="D69" s="23"/>
      <c r="E69" s="24"/>
      <c r="F69" s="60"/>
      <c r="G69" s="59"/>
      <c r="H69" s="78"/>
      <c r="I69" s="59"/>
      <c r="J69" s="60"/>
      <c r="K69" s="57"/>
      <c r="L69" s="57"/>
      <c r="M69" s="57"/>
      <c r="N69" s="57"/>
      <c r="AB69" s="160"/>
    </row>
    <row r="70" spans="3:28" s="42" customFormat="1" x14ac:dyDescent="0.2">
      <c r="C70" s="166"/>
      <c r="D70" s="23"/>
      <c r="E70" s="24"/>
      <c r="F70" s="60"/>
      <c r="G70" s="59"/>
      <c r="H70" s="78"/>
      <c r="I70" s="59"/>
      <c r="J70" s="60"/>
      <c r="K70" s="57"/>
      <c r="L70" s="57"/>
      <c r="M70" s="57"/>
      <c r="N70" s="57"/>
      <c r="AB70" s="160"/>
    </row>
    <row r="71" spans="3:28" s="42" customFormat="1" x14ac:dyDescent="0.2">
      <c r="C71" s="166"/>
      <c r="D71" s="23"/>
      <c r="E71" s="24"/>
      <c r="F71" s="60"/>
      <c r="G71" s="59"/>
      <c r="H71" s="78"/>
      <c r="I71" s="59"/>
      <c r="J71" s="60"/>
      <c r="K71" s="57"/>
      <c r="L71" s="57"/>
      <c r="M71" s="57"/>
      <c r="N71" s="57"/>
      <c r="AB71" s="160"/>
    </row>
    <row r="72" spans="3:28" s="42" customFormat="1" x14ac:dyDescent="0.2">
      <c r="C72" s="166"/>
      <c r="D72" s="23"/>
      <c r="E72" s="24"/>
      <c r="F72" s="60"/>
      <c r="G72" s="59"/>
      <c r="H72" s="78"/>
      <c r="I72" s="59"/>
      <c r="J72" s="60"/>
      <c r="K72" s="57"/>
      <c r="L72" s="57"/>
      <c r="M72" s="57"/>
      <c r="N72" s="57"/>
      <c r="AB72" s="160"/>
    </row>
    <row r="73" spans="3:28" s="42" customFormat="1" x14ac:dyDescent="0.2">
      <c r="C73" s="166"/>
      <c r="D73" s="23"/>
      <c r="E73" s="24"/>
      <c r="F73" s="60"/>
      <c r="G73" s="59"/>
      <c r="H73" s="78"/>
      <c r="I73" s="59"/>
      <c r="J73" s="60"/>
      <c r="K73" s="57"/>
      <c r="L73" s="57"/>
      <c r="M73" s="57"/>
      <c r="N73" s="57"/>
      <c r="AB73" s="160"/>
    </row>
    <row r="74" spans="3:28" s="42" customFormat="1" x14ac:dyDescent="0.2">
      <c r="C74" s="166"/>
      <c r="D74" s="23"/>
      <c r="E74" s="24"/>
      <c r="F74" s="60"/>
      <c r="G74" s="59"/>
      <c r="H74" s="78"/>
      <c r="I74" s="59"/>
      <c r="J74" s="60"/>
      <c r="K74" s="57"/>
      <c r="L74" s="57"/>
      <c r="M74" s="57"/>
      <c r="N74" s="57"/>
      <c r="AB74" s="160"/>
    </row>
    <row r="75" spans="3:28" s="42" customFormat="1" x14ac:dyDescent="0.2">
      <c r="C75" s="25"/>
      <c r="D75" s="23"/>
      <c r="E75" s="24"/>
      <c r="F75" s="58"/>
      <c r="G75" s="25"/>
      <c r="H75" s="77"/>
      <c r="I75" s="25"/>
      <c r="J75" s="58"/>
      <c r="K75" s="57"/>
      <c r="L75" s="57"/>
      <c r="M75" s="57"/>
      <c r="N75" s="57"/>
      <c r="AB75" s="160"/>
    </row>
    <row r="76" spans="3:28" s="42" customFormat="1" x14ac:dyDescent="0.2">
      <c r="C76" s="25"/>
      <c r="D76" s="23"/>
      <c r="E76" s="24"/>
      <c r="F76" s="58"/>
      <c r="G76" s="25"/>
      <c r="H76" s="77"/>
      <c r="I76" s="25"/>
      <c r="J76" s="58"/>
      <c r="K76" s="57"/>
      <c r="L76" s="57"/>
      <c r="M76" s="57"/>
      <c r="N76" s="57"/>
      <c r="AB76" s="160"/>
    </row>
    <row r="77" spans="3:28" s="42" customFormat="1" x14ac:dyDescent="0.2">
      <c r="C77" s="25"/>
      <c r="D77" s="23"/>
      <c r="E77" s="24"/>
      <c r="F77" s="58"/>
      <c r="G77" s="25"/>
      <c r="H77" s="77"/>
      <c r="I77" s="25"/>
      <c r="J77" s="58"/>
      <c r="K77" s="57"/>
      <c r="L77" s="57"/>
      <c r="M77" s="57"/>
      <c r="N77" s="57"/>
      <c r="AB77" s="160"/>
    </row>
    <row r="78" spans="3:28" s="42" customFormat="1" x14ac:dyDescent="0.2">
      <c r="C78" s="57"/>
      <c r="D78" s="62"/>
      <c r="E78" s="63"/>
      <c r="F78" s="67"/>
      <c r="G78" s="57"/>
      <c r="H78" s="77"/>
      <c r="I78" s="57"/>
      <c r="J78" s="67"/>
      <c r="K78" s="57"/>
      <c r="L78" s="57"/>
      <c r="M78" s="57"/>
      <c r="N78" s="57"/>
      <c r="AB78" s="160"/>
    </row>
    <row r="79" spans="3:28" s="42" customFormat="1" x14ac:dyDescent="0.2">
      <c r="C79" s="25"/>
      <c r="D79" s="23"/>
      <c r="E79" s="24"/>
      <c r="F79" s="167"/>
      <c r="G79" s="167"/>
      <c r="H79" s="78"/>
      <c r="I79" s="167"/>
      <c r="J79" s="167"/>
      <c r="K79" s="57"/>
      <c r="L79" s="57"/>
      <c r="M79" s="57"/>
      <c r="N79" s="57"/>
      <c r="AB79" s="160"/>
    </row>
    <row r="80" spans="3:28" s="42" customFormat="1" x14ac:dyDescent="0.2">
      <c r="C80" s="25"/>
      <c r="D80" s="23"/>
      <c r="E80" s="24"/>
      <c r="F80" s="167"/>
      <c r="G80" s="167"/>
      <c r="H80" s="78"/>
      <c r="I80" s="167"/>
      <c r="J80" s="167"/>
      <c r="K80" s="57"/>
      <c r="L80" s="57"/>
      <c r="M80" s="57"/>
      <c r="N80" s="57"/>
      <c r="AB80" s="160"/>
    </row>
    <row r="81" spans="3:28" s="42" customFormat="1" x14ac:dyDescent="0.2">
      <c r="C81" s="25"/>
      <c r="D81" s="23"/>
      <c r="E81" s="24"/>
      <c r="F81" s="167"/>
      <c r="G81" s="167"/>
      <c r="H81" s="78"/>
      <c r="I81" s="167"/>
      <c r="J81" s="167"/>
      <c r="K81" s="57"/>
      <c r="L81" s="57"/>
      <c r="M81" s="57"/>
      <c r="N81" s="57"/>
      <c r="AB81" s="160"/>
    </row>
    <row r="82" spans="3:28" s="42" customFormat="1" x14ac:dyDescent="0.2">
      <c r="C82" s="25"/>
      <c r="D82" s="23"/>
      <c r="E82" s="24"/>
      <c r="F82" s="167"/>
      <c r="G82" s="167"/>
      <c r="H82" s="78"/>
      <c r="I82" s="167"/>
      <c r="J82" s="167"/>
      <c r="K82" s="57"/>
      <c r="L82" s="57"/>
      <c r="M82" s="57"/>
      <c r="N82" s="57"/>
      <c r="AB82" s="160"/>
    </row>
    <row r="83" spans="3:28" s="42" customFormat="1" x14ac:dyDescent="0.2">
      <c r="C83" s="25"/>
      <c r="D83" s="23"/>
      <c r="E83" s="24"/>
      <c r="F83" s="167"/>
      <c r="G83" s="167"/>
      <c r="H83" s="78"/>
      <c r="I83" s="167"/>
      <c r="J83" s="167"/>
      <c r="K83" s="57"/>
      <c r="L83" s="57"/>
      <c r="M83" s="57"/>
      <c r="N83" s="57"/>
      <c r="AB83" s="160"/>
    </row>
    <row r="84" spans="3:28" s="42" customFormat="1" x14ac:dyDescent="0.2">
      <c r="C84" s="25"/>
      <c r="D84" s="23"/>
      <c r="E84" s="24"/>
      <c r="F84" s="167"/>
      <c r="G84" s="167"/>
      <c r="H84" s="78"/>
      <c r="I84" s="167"/>
      <c r="J84" s="167"/>
      <c r="K84" s="57"/>
      <c r="L84" s="57"/>
      <c r="M84" s="57"/>
      <c r="N84" s="57"/>
      <c r="AB84" s="160"/>
    </row>
    <row r="85" spans="3:28" s="42" customFormat="1" x14ac:dyDescent="0.2">
      <c r="C85" s="25"/>
      <c r="D85" s="23"/>
      <c r="E85" s="24"/>
      <c r="F85" s="167"/>
      <c r="G85" s="167"/>
      <c r="H85" s="78"/>
      <c r="I85" s="167"/>
      <c r="J85" s="167"/>
      <c r="K85" s="57"/>
      <c r="L85" s="57"/>
      <c r="M85" s="57"/>
      <c r="N85" s="57"/>
      <c r="AB85" s="160"/>
    </row>
    <row r="86" spans="3:28" s="42" customFormat="1" x14ac:dyDescent="0.2">
      <c r="C86" s="25"/>
      <c r="D86" s="23"/>
      <c r="E86" s="24"/>
      <c r="F86" s="167"/>
      <c r="G86" s="167"/>
      <c r="H86" s="78"/>
      <c r="I86" s="167"/>
      <c r="J86" s="167"/>
      <c r="K86" s="57"/>
      <c r="L86" s="57"/>
      <c r="M86" s="57"/>
      <c r="N86" s="57"/>
      <c r="AB86" s="160"/>
    </row>
    <row r="87" spans="3:28" s="42" customFormat="1" x14ac:dyDescent="0.2">
      <c r="C87" s="25"/>
      <c r="D87" s="23"/>
      <c r="E87" s="24"/>
      <c r="F87" s="167"/>
      <c r="G87" s="167"/>
      <c r="H87" s="78"/>
      <c r="I87" s="167"/>
      <c r="J87" s="167"/>
      <c r="K87" s="57"/>
      <c r="L87" s="57"/>
      <c r="M87" s="57"/>
      <c r="N87" s="57"/>
      <c r="AB87" s="160"/>
    </row>
    <row r="88" spans="3:28" s="42" customFormat="1" x14ac:dyDescent="0.2">
      <c r="C88" s="25"/>
      <c r="D88" s="23"/>
      <c r="E88" s="24"/>
      <c r="F88" s="167"/>
      <c r="G88" s="167"/>
      <c r="H88" s="78"/>
      <c r="I88" s="167"/>
      <c r="J88" s="167"/>
      <c r="K88" s="57"/>
      <c r="L88" s="57"/>
      <c r="M88" s="57"/>
      <c r="N88" s="57"/>
      <c r="AB88" s="160"/>
    </row>
    <row r="89" spans="3:28" s="42" customFormat="1" x14ac:dyDescent="0.2">
      <c r="C89" s="25"/>
      <c r="D89" s="23"/>
      <c r="E89" s="24"/>
      <c r="F89" s="167"/>
      <c r="G89" s="167"/>
      <c r="H89" s="78"/>
      <c r="I89" s="167"/>
      <c r="J89" s="167"/>
      <c r="K89" s="57"/>
      <c r="L89" s="57"/>
      <c r="M89" s="57"/>
      <c r="N89" s="57"/>
      <c r="AB89" s="160"/>
    </row>
    <row r="90" spans="3:28" x14ac:dyDescent="0.2">
      <c r="C90" s="20"/>
      <c r="D90" s="18"/>
      <c r="E90" s="19"/>
      <c r="F90" s="55"/>
      <c r="G90" s="20"/>
      <c r="H90" s="21"/>
      <c r="I90" s="20"/>
      <c r="J90" s="55"/>
      <c r="K90" s="57"/>
      <c r="L90" s="57"/>
      <c r="M90" s="57"/>
      <c r="N90" s="57"/>
    </row>
    <row r="91" spans="3:28" x14ac:dyDescent="0.2">
      <c r="C91" s="20"/>
      <c r="D91" s="18"/>
      <c r="E91" s="19"/>
      <c r="F91" s="55"/>
      <c r="G91" s="20"/>
      <c r="H91" s="21"/>
      <c r="I91" s="20"/>
      <c r="J91" s="55"/>
      <c r="K91" s="57"/>
      <c r="L91" s="57"/>
      <c r="M91" s="57"/>
      <c r="N91" s="57"/>
    </row>
  </sheetData>
  <mergeCells count="39">
    <mergeCell ref="F19:I19"/>
    <mergeCell ref="C5:J6"/>
    <mergeCell ref="C10:D11"/>
    <mergeCell ref="F10:J11"/>
    <mergeCell ref="E10:E11"/>
    <mergeCell ref="C7:D8"/>
    <mergeCell ref="C14:D14"/>
    <mergeCell ref="C15:D15"/>
    <mergeCell ref="F14:J14"/>
    <mergeCell ref="F15:J15"/>
    <mergeCell ref="C13:J13"/>
    <mergeCell ref="L5:S6"/>
    <mergeCell ref="L7:M8"/>
    <mergeCell ref="N7:N8"/>
    <mergeCell ref="E7:E8"/>
    <mergeCell ref="F7:J8"/>
    <mergeCell ref="L14:M14"/>
    <mergeCell ref="O14:S14"/>
    <mergeCell ref="U13:AB13"/>
    <mergeCell ref="U14:V14"/>
    <mergeCell ref="X14:AB14"/>
    <mergeCell ref="O7:S8"/>
    <mergeCell ref="L10:M11"/>
    <mergeCell ref="N10:N11"/>
    <mergeCell ref="O10:S11"/>
    <mergeCell ref="L13:S13"/>
    <mergeCell ref="U5:AB6"/>
    <mergeCell ref="U7:V8"/>
    <mergeCell ref="W7:W8"/>
    <mergeCell ref="X7:AB8"/>
    <mergeCell ref="U10:V11"/>
    <mergeCell ref="W10:W11"/>
    <mergeCell ref="X10:AB11"/>
    <mergeCell ref="U15:V15"/>
    <mergeCell ref="X15:AB15"/>
    <mergeCell ref="X19:AA19"/>
    <mergeCell ref="L15:M15"/>
    <mergeCell ref="O15:S15"/>
    <mergeCell ref="O19:R19"/>
  </mergeCells>
  <conditionalFormatting sqref="J45:J55">
    <cfRule type="containsErrors" dxfId="6" priority="18">
      <formula>ISERROR(J45)</formula>
    </cfRule>
  </conditionalFormatting>
  <conditionalFormatting sqref="F15:J15">
    <cfRule type="containsErrors" dxfId="5" priority="16">
      <formula>ISERROR(F15)</formula>
    </cfRule>
  </conditionalFormatting>
  <conditionalFormatting sqref="O15:S15">
    <cfRule type="containsErrors" dxfId="4" priority="6">
      <formula>ISERROR(O15)</formula>
    </cfRule>
  </conditionalFormatting>
  <conditionalFormatting sqref="AB45:AB55">
    <cfRule type="containsErrors" dxfId="3" priority="5">
      <formula>ISERROR(AB45)</formula>
    </cfRule>
  </conditionalFormatting>
  <conditionalFormatting sqref="X15:AB15">
    <cfRule type="containsErrors" dxfId="2" priority="4">
      <formula>ISERROR(X15)</formula>
    </cfRule>
  </conditionalFormatting>
  <conditionalFormatting sqref="J56:J64">
    <cfRule type="containsErrors" dxfId="1" priority="2">
      <formula>ISERROR(J56)</formula>
    </cfRule>
  </conditionalFormatting>
  <conditionalFormatting sqref="S45:S64">
    <cfRule type="containsErrors" dxfId="0" priority="1">
      <formula>ISERROR(S45)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r:id="rId1"/>
  <headerFooter>
    <oddHeader>&amp;C&amp;A</oddHeader>
    <oddFooter>&amp;CPage &amp;P</oddFooter>
  </headerFooter>
  <ignoredErrors>
    <ignoredError sqref="H49:H65 Q46:Q64 Z46:Z64 H46:H48" formula="1"/>
    <ignoredError sqref="F15 J45:J64" evalError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AF1FC5A3-8B63-4BF0-BB27-836BFF257C64}">
          <x14:formula1>
            <xm:f>'2'!$B$5:$B$40</xm:f>
          </x14:formula1>
          <xm:sqref>C10 L10 U10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D40"/>
  <sheetViews>
    <sheetView zoomScaleNormal="100" zoomScalePageLayoutView="60" workbookViewId="0">
      <selection activeCell="H35" sqref="H35"/>
    </sheetView>
  </sheetViews>
  <sheetFormatPr defaultRowHeight="12.75" x14ac:dyDescent="0.2"/>
  <cols>
    <col min="1" max="1" width="11.5703125"/>
    <col min="2" max="4" width="11.5703125" style="1"/>
    <col min="5" max="1022" width="11.5703125"/>
  </cols>
  <sheetData>
    <row r="3" spans="2:4" x14ac:dyDescent="0.2">
      <c r="B3" s="1" t="s">
        <v>38</v>
      </c>
      <c r="C3" s="1" t="s">
        <v>39</v>
      </c>
      <c r="D3" s="1" t="s">
        <v>41</v>
      </c>
    </row>
    <row r="4" spans="2:4" ht="13.5" thickBot="1" x14ac:dyDescent="0.25"/>
    <row r="5" spans="2:4" ht="13.5" thickBot="1" x14ac:dyDescent="0.25">
      <c r="B5" s="3" t="s">
        <v>37</v>
      </c>
      <c r="C5" s="4">
        <v>360.3</v>
      </c>
      <c r="D5" s="4">
        <v>5.04</v>
      </c>
    </row>
    <row r="6" spans="2:4" ht="13.5" thickBot="1" x14ac:dyDescent="0.25">
      <c r="B6" s="5" t="s">
        <v>2</v>
      </c>
      <c r="C6" s="6">
        <v>360.3</v>
      </c>
      <c r="D6" s="6">
        <v>5.04</v>
      </c>
    </row>
    <row r="7" spans="2:4" ht="13.5" thickBot="1" x14ac:dyDescent="0.25">
      <c r="B7" s="7" t="s">
        <v>3</v>
      </c>
      <c r="C7" s="8">
        <v>360.3</v>
      </c>
      <c r="D7" s="8">
        <v>5.04</v>
      </c>
    </row>
    <row r="8" spans="2:4" ht="13.5" thickBot="1" x14ac:dyDescent="0.25">
      <c r="B8" s="5" t="s">
        <v>4</v>
      </c>
      <c r="C8" s="6">
        <v>360.3</v>
      </c>
      <c r="D8" s="6">
        <v>5.04</v>
      </c>
    </row>
    <row r="9" spans="2:4" ht="13.5" thickBot="1" x14ac:dyDescent="0.25">
      <c r="B9" s="7" t="s">
        <v>5</v>
      </c>
      <c r="C9" s="8">
        <v>387.05</v>
      </c>
      <c r="D9" s="8">
        <v>5.42</v>
      </c>
    </row>
    <row r="10" spans="2:4" ht="13.5" thickBot="1" x14ac:dyDescent="0.25">
      <c r="B10" s="5" t="s">
        <v>6</v>
      </c>
      <c r="C10" s="6">
        <v>387.05</v>
      </c>
      <c r="D10" s="6">
        <v>5.42</v>
      </c>
    </row>
    <row r="11" spans="2:4" ht="13.5" thickBot="1" x14ac:dyDescent="0.25">
      <c r="B11" s="7" t="s">
        <v>7</v>
      </c>
      <c r="C11" s="8">
        <v>387.05</v>
      </c>
      <c r="D11" s="8">
        <v>5.42</v>
      </c>
    </row>
    <row r="12" spans="2:4" ht="13.5" thickBot="1" x14ac:dyDescent="0.25">
      <c r="B12" s="5" t="s">
        <v>8</v>
      </c>
      <c r="C12" s="6">
        <v>387.05</v>
      </c>
      <c r="D12" s="6">
        <v>5.42</v>
      </c>
    </row>
    <row r="13" spans="2:4" ht="13.5" thickBot="1" x14ac:dyDescent="0.25">
      <c r="B13" s="7" t="s">
        <v>9</v>
      </c>
      <c r="C13" s="8">
        <v>387.05</v>
      </c>
      <c r="D13" s="8">
        <v>5.42</v>
      </c>
    </row>
    <row r="14" spans="2:4" ht="13.5" thickBot="1" x14ac:dyDescent="0.25">
      <c r="B14" s="5" t="s">
        <v>10</v>
      </c>
      <c r="C14" s="6">
        <v>407.11</v>
      </c>
      <c r="D14" s="6">
        <v>5.7</v>
      </c>
    </row>
    <row r="15" spans="2:4" ht="13.5" thickBot="1" x14ac:dyDescent="0.25">
      <c r="B15" s="7" t="s">
        <v>11</v>
      </c>
      <c r="C15" s="8">
        <v>407.11</v>
      </c>
      <c r="D15" s="8">
        <v>5.7</v>
      </c>
    </row>
    <row r="16" spans="2:4" ht="13.5" thickBot="1" x14ac:dyDescent="0.25">
      <c r="B16" s="5" t="s">
        <v>12</v>
      </c>
      <c r="C16" s="6">
        <v>500</v>
      </c>
      <c r="D16" s="6">
        <v>7</v>
      </c>
    </row>
    <row r="17" spans="2:4" ht="13.5" thickBot="1" x14ac:dyDescent="0.25">
      <c r="B17" s="7" t="s">
        <v>13</v>
      </c>
      <c r="C17" s="8">
        <v>500</v>
      </c>
      <c r="D17" s="8">
        <v>7</v>
      </c>
    </row>
    <row r="18" spans="2:4" ht="13.5" thickBot="1" x14ac:dyDescent="0.25">
      <c r="B18" s="5" t="s">
        <v>14</v>
      </c>
      <c r="C18" s="6">
        <v>500</v>
      </c>
      <c r="D18" s="6">
        <v>7</v>
      </c>
    </row>
    <row r="19" spans="2:4" ht="13.5" thickBot="1" x14ac:dyDescent="0.25">
      <c r="B19" s="7" t="s">
        <v>15</v>
      </c>
      <c r="C19" s="9">
        <v>2000</v>
      </c>
      <c r="D19" s="8">
        <v>7</v>
      </c>
    </row>
    <row r="20" spans="2:4" ht="13.5" thickBot="1" x14ac:dyDescent="0.25">
      <c r="B20" s="5" t="s">
        <v>16</v>
      </c>
      <c r="C20" s="6">
        <v>500</v>
      </c>
      <c r="D20" s="6">
        <v>7</v>
      </c>
    </row>
    <row r="21" spans="2:4" ht="13.5" thickBot="1" x14ac:dyDescent="0.25">
      <c r="B21" s="7" t="s">
        <v>17</v>
      </c>
      <c r="C21" s="8">
        <v>500</v>
      </c>
      <c r="D21" s="8">
        <v>7</v>
      </c>
    </row>
    <row r="22" spans="2:4" ht="13.5" thickBot="1" x14ac:dyDescent="0.25">
      <c r="B22" s="5" t="s">
        <v>18</v>
      </c>
      <c r="C22" s="6">
        <v>500</v>
      </c>
      <c r="D22" s="6">
        <v>7</v>
      </c>
    </row>
    <row r="23" spans="2:4" ht="13.5" thickBot="1" x14ac:dyDescent="0.25">
      <c r="B23" s="7" t="s">
        <v>19</v>
      </c>
      <c r="C23" s="8">
        <v>500</v>
      </c>
      <c r="D23" s="8">
        <v>7</v>
      </c>
    </row>
    <row r="24" spans="2:4" ht="13.5" thickBot="1" x14ac:dyDescent="0.25">
      <c r="B24" s="5" t="s">
        <v>20</v>
      </c>
      <c r="C24" s="6">
        <v>500</v>
      </c>
      <c r="D24" s="6">
        <v>7</v>
      </c>
    </row>
    <row r="25" spans="2:4" ht="13.5" thickBot="1" x14ac:dyDescent="0.25">
      <c r="B25" s="7" t="s">
        <v>21</v>
      </c>
      <c r="C25" s="8">
        <v>547.36</v>
      </c>
      <c r="D25" s="8">
        <v>7.66</v>
      </c>
    </row>
    <row r="26" spans="2:4" ht="13.5" thickBot="1" x14ac:dyDescent="0.25">
      <c r="B26" s="5" t="s">
        <v>22</v>
      </c>
      <c r="C26" s="6">
        <v>599.97</v>
      </c>
      <c r="D26" s="6">
        <v>8.4</v>
      </c>
    </row>
    <row r="27" spans="2:4" ht="13.5" thickBot="1" x14ac:dyDescent="0.25">
      <c r="B27" s="7" t="s">
        <v>23</v>
      </c>
      <c r="C27" s="8">
        <v>599.97</v>
      </c>
      <c r="D27" s="8">
        <v>8.4</v>
      </c>
    </row>
    <row r="28" spans="2:4" ht="13.5" thickBot="1" x14ac:dyDescent="0.25">
      <c r="B28" s="5" t="s">
        <v>24</v>
      </c>
      <c r="C28" s="6">
        <v>599.97</v>
      </c>
      <c r="D28" s="6">
        <v>8.4</v>
      </c>
    </row>
    <row r="29" spans="2:4" ht="13.5" thickBot="1" x14ac:dyDescent="0.25">
      <c r="B29" s="7" t="s">
        <v>25</v>
      </c>
      <c r="C29" s="8">
        <v>599.97</v>
      </c>
      <c r="D29" s="8">
        <v>8.4</v>
      </c>
    </row>
    <row r="30" spans="2:4" ht="13.5" thickBot="1" x14ac:dyDescent="0.25">
      <c r="B30" s="5" t="s">
        <v>26</v>
      </c>
      <c r="C30" s="6">
        <v>599.97</v>
      </c>
      <c r="D30" s="6">
        <v>8.4</v>
      </c>
    </row>
    <row r="31" spans="2:4" ht="13.5" thickBot="1" x14ac:dyDescent="0.25">
      <c r="B31" s="7" t="s">
        <v>27</v>
      </c>
      <c r="C31" s="8">
        <v>599.97</v>
      </c>
      <c r="D31" s="8">
        <v>8.4</v>
      </c>
    </row>
    <row r="32" spans="2:4" ht="13.5" thickBot="1" x14ac:dyDescent="0.25">
      <c r="B32" s="5" t="s">
        <v>28</v>
      </c>
      <c r="C32" s="6">
        <v>599.97</v>
      </c>
      <c r="D32" s="6">
        <v>8.4</v>
      </c>
    </row>
    <row r="33" spans="2:4" ht="13.5" thickBot="1" x14ac:dyDescent="0.25">
      <c r="B33" s="7" t="s">
        <v>29</v>
      </c>
      <c r="C33" s="8">
        <v>599.97</v>
      </c>
      <c r="D33" s="8">
        <v>8.4</v>
      </c>
    </row>
    <row r="34" spans="2:4" ht="13.5" thickBot="1" x14ac:dyDescent="0.25">
      <c r="B34" s="5" t="s">
        <v>30</v>
      </c>
      <c r="C34" s="6">
        <v>599.97</v>
      </c>
      <c r="D34" s="6">
        <v>8.4</v>
      </c>
    </row>
    <row r="35" spans="2:4" ht="13.5" thickBot="1" x14ac:dyDescent="0.25">
      <c r="B35" s="7" t="s">
        <v>31</v>
      </c>
      <c r="C35" s="8">
        <v>695.15</v>
      </c>
      <c r="D35" s="8">
        <v>9.73</v>
      </c>
    </row>
    <row r="36" spans="2:4" ht="13.5" thickBot="1" x14ac:dyDescent="0.25">
      <c r="B36" s="5" t="s">
        <v>32</v>
      </c>
      <c r="C36" s="6">
        <v>695.15</v>
      </c>
      <c r="D36" s="6">
        <v>9.73</v>
      </c>
    </row>
    <row r="37" spans="2:4" ht="13.5" thickBot="1" x14ac:dyDescent="0.25">
      <c r="B37" s="7" t="s">
        <v>33</v>
      </c>
      <c r="C37" s="8">
        <v>695.15</v>
      </c>
      <c r="D37" s="8">
        <v>9.73</v>
      </c>
    </row>
    <row r="38" spans="2:4" ht="13.5" thickBot="1" x14ac:dyDescent="0.25">
      <c r="B38" s="5" t="s">
        <v>34</v>
      </c>
      <c r="C38" s="6">
        <v>695.15</v>
      </c>
      <c r="D38" s="6">
        <v>9.73</v>
      </c>
    </row>
    <row r="39" spans="2:4" ht="13.5" thickBot="1" x14ac:dyDescent="0.25">
      <c r="B39" s="7" t="s">
        <v>35</v>
      </c>
      <c r="C39" s="8">
        <v>695.15</v>
      </c>
      <c r="D39" s="8">
        <v>9.73</v>
      </c>
    </row>
    <row r="40" spans="2:4" ht="13.5" thickBot="1" x14ac:dyDescent="0.25">
      <c r="B40" s="10" t="s">
        <v>36</v>
      </c>
      <c r="C40" s="11">
        <v>695.15</v>
      </c>
      <c r="D40" s="11">
        <v>9.73</v>
      </c>
    </row>
  </sheetData>
  <pageMargins left="0.78749999999999998" right="0.78749999999999998" top="1.0249999999999999" bottom="1.0249999999999999" header="0.78749999999999998" footer="0.78749999999999998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 feldsmann</dc:creator>
  <cp:lastModifiedBy>kai feldsmann</cp:lastModifiedBy>
  <cp:revision>10</cp:revision>
  <dcterms:created xsi:type="dcterms:W3CDTF">2009-04-16T11:32:48Z</dcterms:created>
  <dcterms:modified xsi:type="dcterms:W3CDTF">2021-05-06T21:56:44Z</dcterms:modified>
  <dc:language>de-DE</dc:language>
</cp:coreProperties>
</file>