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cqueline.gan\Downloads\"/>
    </mc:Choice>
  </mc:AlternateContent>
  <xr:revisionPtr revIDLastSave="0" documentId="8_{613ACD18-A07B-412D-8387-C60D95CA7592}" xr6:coauthVersionLast="34" xr6:coauthVersionMax="34" xr10:uidLastSave="{00000000-0000-0000-0000-000000000000}"/>
  <bookViews>
    <workbookView xWindow="0" yWindow="0" windowWidth="23040" windowHeight="9072"/>
  </bookViews>
  <sheets>
    <sheet name="SQ9_C" sheetId="1" r:id="rId1"/>
    <sheet name="SQ9" sheetId="2" r:id="rId2"/>
    <sheet name="SQ9_Dates" sheetId="3" r:id="rId3"/>
  </sheets>
  <calcPr calcId="179021" fullCalcOnLoad="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H37" i="3" l="1"/>
  <c r="AG37" i="3"/>
  <c r="AF37" i="3"/>
  <c r="AE37" i="3"/>
  <c r="AD37" i="3"/>
  <c r="AC37" i="3"/>
  <c r="AB37" i="3"/>
  <c r="AA37" i="3"/>
  <c r="Z37" i="3"/>
  <c r="Y37" i="3"/>
  <c r="X37" i="3"/>
  <c r="W37" i="3"/>
  <c r="V37" i="3"/>
  <c r="U37" i="3"/>
  <c r="T37" i="3"/>
  <c r="S37" i="3"/>
  <c r="R37" i="3"/>
  <c r="Q37" i="3"/>
  <c r="P37" i="3"/>
  <c r="O37" i="3"/>
  <c r="N37" i="3"/>
  <c r="M37" i="3"/>
  <c r="L37" i="3"/>
  <c r="K37" i="3"/>
  <c r="J37" i="3"/>
  <c r="I37" i="3"/>
  <c r="H37" i="3"/>
  <c r="G37" i="3"/>
  <c r="F37" i="3"/>
  <c r="E37" i="3"/>
  <c r="D37" i="3"/>
  <c r="C37" i="3"/>
  <c r="B37" i="3"/>
  <c r="AH36" i="3"/>
  <c r="AG36" i="3"/>
  <c r="AF36" i="3"/>
  <c r="AE36" i="3"/>
  <c r="AD36" i="3"/>
  <c r="AC36" i="3"/>
  <c r="AB36" i="3"/>
  <c r="AA36" i="3"/>
  <c r="Z36" i="3"/>
  <c r="Y36" i="3"/>
  <c r="X36" i="3"/>
  <c r="W36" i="3"/>
  <c r="V36" i="3"/>
  <c r="U36" i="3"/>
  <c r="T36" i="3"/>
  <c r="S36" i="3"/>
  <c r="R36" i="3"/>
  <c r="Q36" i="3"/>
  <c r="P36" i="3"/>
  <c r="O36" i="3"/>
  <c r="N36" i="3"/>
  <c r="M36" i="3"/>
  <c r="L36" i="3"/>
  <c r="K36" i="3"/>
  <c r="J36" i="3"/>
  <c r="I36" i="3"/>
  <c r="H36" i="3"/>
  <c r="G36" i="3"/>
  <c r="F36" i="3"/>
  <c r="E36" i="3"/>
  <c r="D36" i="3"/>
  <c r="C36" i="3"/>
  <c r="B36" i="3"/>
  <c r="AH35" i="3"/>
  <c r="AG35" i="3"/>
  <c r="AF35" i="3"/>
  <c r="AE35" i="3"/>
  <c r="AD35" i="3"/>
  <c r="AC35" i="3"/>
  <c r="AB35" i="3"/>
  <c r="AA35" i="3"/>
  <c r="Z35" i="3"/>
  <c r="Y35" i="3"/>
  <c r="X35" i="3"/>
  <c r="W35" i="3"/>
  <c r="V35" i="3"/>
  <c r="U35" i="3"/>
  <c r="T35" i="3"/>
  <c r="S35" i="3"/>
  <c r="R35" i="3"/>
  <c r="Q35" i="3"/>
  <c r="P35" i="3"/>
  <c r="O35" i="3"/>
  <c r="N35" i="3"/>
  <c r="M35" i="3"/>
  <c r="L35" i="3"/>
  <c r="K35" i="3"/>
  <c r="J35" i="3"/>
  <c r="I35" i="3"/>
  <c r="H35" i="3"/>
  <c r="G35" i="3"/>
  <c r="F35" i="3"/>
  <c r="E35" i="3"/>
  <c r="D35" i="3"/>
  <c r="C35" i="3"/>
  <c r="B35" i="3"/>
  <c r="AH34" i="3"/>
  <c r="AG34" i="3"/>
  <c r="AF34" i="3"/>
  <c r="AE34" i="3"/>
  <c r="AD34" i="3"/>
  <c r="AC34" i="3"/>
  <c r="AB34" i="3"/>
  <c r="AA34" i="3"/>
  <c r="Z34" i="3"/>
  <c r="Y34" i="3"/>
  <c r="X34" i="3"/>
  <c r="W34" i="3"/>
  <c r="V34" i="3"/>
  <c r="U34" i="3"/>
  <c r="T34" i="3"/>
  <c r="S34" i="3"/>
  <c r="R34" i="3"/>
  <c r="Q34" i="3"/>
  <c r="P34" i="3"/>
  <c r="O34" i="3"/>
  <c r="N34" i="3"/>
  <c r="M34" i="3"/>
  <c r="L34" i="3"/>
  <c r="K34" i="3"/>
  <c r="J34" i="3"/>
  <c r="I34" i="3"/>
  <c r="H34" i="3"/>
  <c r="G34" i="3"/>
  <c r="F34" i="3"/>
  <c r="E34" i="3"/>
  <c r="D34" i="3"/>
  <c r="C34" i="3"/>
  <c r="B34" i="3"/>
  <c r="AH33" i="3"/>
  <c r="AG33" i="3"/>
  <c r="AF33" i="3"/>
  <c r="AE33" i="3"/>
  <c r="AD33" i="3"/>
  <c r="AC33" i="3"/>
  <c r="AB33" i="3"/>
  <c r="AA33" i="3"/>
  <c r="Z33" i="3"/>
  <c r="Y33" i="3"/>
  <c r="X33" i="3"/>
  <c r="W33" i="3"/>
  <c r="V33" i="3"/>
  <c r="U33" i="3"/>
  <c r="T33" i="3"/>
  <c r="S33" i="3"/>
  <c r="R33" i="3"/>
  <c r="Q33" i="3"/>
  <c r="P33" i="3"/>
  <c r="O33" i="3"/>
  <c r="N33" i="3"/>
  <c r="M33" i="3"/>
  <c r="L33" i="3"/>
  <c r="K33" i="3"/>
  <c r="J33" i="3"/>
  <c r="I33" i="3"/>
  <c r="H33" i="3"/>
  <c r="G33" i="3"/>
  <c r="F33" i="3"/>
  <c r="E33" i="3"/>
  <c r="D33" i="3"/>
  <c r="C33" i="3"/>
  <c r="B33" i="3"/>
  <c r="AH32" i="3"/>
  <c r="AG32" i="3"/>
  <c r="AF32" i="3"/>
  <c r="AE32" i="3"/>
  <c r="AD32" i="3"/>
  <c r="AC32" i="3"/>
  <c r="AB32" i="3"/>
  <c r="AA32" i="3"/>
  <c r="Z32" i="3"/>
  <c r="Y32" i="3"/>
  <c r="X32" i="3"/>
  <c r="W32" i="3"/>
  <c r="V32" i="3"/>
  <c r="U32" i="3"/>
  <c r="T32" i="3"/>
  <c r="S32" i="3"/>
  <c r="R32" i="3"/>
  <c r="Q32" i="3"/>
  <c r="P32" i="3"/>
  <c r="O32" i="3"/>
  <c r="N32" i="3"/>
  <c r="M32" i="3"/>
  <c r="L32" i="3"/>
  <c r="K32" i="3"/>
  <c r="J32" i="3"/>
  <c r="I32" i="3"/>
  <c r="H32" i="3"/>
  <c r="G32" i="3"/>
  <c r="F32" i="3"/>
  <c r="E32" i="3"/>
  <c r="D32" i="3"/>
  <c r="C32" i="3"/>
  <c r="B32" i="3"/>
  <c r="AH31" i="3"/>
  <c r="AG31" i="3"/>
  <c r="AF31" i="3"/>
  <c r="AE31" i="3"/>
  <c r="AD31" i="3"/>
  <c r="AC31" i="3"/>
  <c r="AB31" i="3"/>
  <c r="AA31" i="3"/>
  <c r="Z31" i="3"/>
  <c r="Y31" i="3"/>
  <c r="X31" i="3"/>
  <c r="W31" i="3"/>
  <c r="V31" i="3"/>
  <c r="U31" i="3"/>
  <c r="T31" i="3"/>
  <c r="S31" i="3"/>
  <c r="R31" i="3"/>
  <c r="Q31" i="3"/>
  <c r="P31" i="3"/>
  <c r="O31" i="3"/>
  <c r="N31" i="3"/>
  <c r="M31" i="3"/>
  <c r="L31" i="3"/>
  <c r="K31" i="3"/>
  <c r="J31" i="3"/>
  <c r="I31" i="3"/>
  <c r="H31" i="3"/>
  <c r="G31" i="3"/>
  <c r="F31" i="3"/>
  <c r="E31" i="3"/>
  <c r="D31" i="3"/>
  <c r="C31" i="3"/>
  <c r="B31" i="3"/>
  <c r="AH30" i="3"/>
  <c r="AG30" i="3"/>
  <c r="AF30" i="3"/>
  <c r="AE30" i="3"/>
  <c r="AD30" i="3"/>
  <c r="AC30" i="3"/>
  <c r="AB30" i="3"/>
  <c r="AA30" i="3"/>
  <c r="Z30" i="3"/>
  <c r="Y30" i="3"/>
  <c r="X30" i="3"/>
  <c r="W30" i="3"/>
  <c r="V30" i="3"/>
  <c r="U30" i="3"/>
  <c r="T30" i="3"/>
  <c r="S30" i="3"/>
  <c r="R30" i="3"/>
  <c r="Q30" i="3"/>
  <c r="P30" i="3"/>
  <c r="O30" i="3"/>
  <c r="N30" i="3"/>
  <c r="M30" i="3"/>
  <c r="L30" i="3"/>
  <c r="K30" i="3"/>
  <c r="J30" i="3"/>
  <c r="I30" i="3"/>
  <c r="H30" i="3"/>
  <c r="G30" i="3"/>
  <c r="F30" i="3"/>
  <c r="E30" i="3"/>
  <c r="D30" i="3"/>
  <c r="C30" i="3"/>
  <c r="B30" i="3"/>
  <c r="AH29" i="3"/>
  <c r="AG29" i="3"/>
  <c r="AF29" i="3"/>
  <c r="AE29" i="3"/>
  <c r="AD29" i="3"/>
  <c r="AC29" i="3"/>
  <c r="AB29" i="3"/>
  <c r="AA29" i="3"/>
  <c r="Z29" i="3"/>
  <c r="Y29" i="3"/>
  <c r="X29" i="3"/>
  <c r="W29" i="3"/>
  <c r="V29" i="3"/>
  <c r="U29" i="3"/>
  <c r="T29" i="3"/>
  <c r="S29" i="3"/>
  <c r="R29" i="3"/>
  <c r="Q29" i="3"/>
  <c r="P29" i="3"/>
  <c r="O29" i="3"/>
  <c r="N29" i="3"/>
  <c r="M29" i="3"/>
  <c r="L29" i="3"/>
  <c r="K29" i="3"/>
  <c r="J29" i="3"/>
  <c r="I29" i="3"/>
  <c r="H29" i="3"/>
  <c r="G29" i="3"/>
  <c r="F29" i="3"/>
  <c r="E29" i="3"/>
  <c r="D29" i="3"/>
  <c r="C29" i="3"/>
  <c r="B29" i="3"/>
  <c r="AH28" i="3"/>
  <c r="AG28" i="3"/>
  <c r="AF28" i="3"/>
  <c r="AE28" i="3"/>
  <c r="AD28" i="3"/>
  <c r="AC28" i="3"/>
  <c r="AB28" i="3"/>
  <c r="AA28" i="3"/>
  <c r="Z28" i="3"/>
  <c r="Y28" i="3"/>
  <c r="X28" i="3"/>
  <c r="W28" i="3"/>
  <c r="V28" i="3"/>
  <c r="U28" i="3"/>
  <c r="T28" i="3"/>
  <c r="S28" i="3"/>
  <c r="R28" i="3"/>
  <c r="Q28" i="3"/>
  <c r="P28" i="3"/>
  <c r="O28" i="3"/>
  <c r="N28" i="3"/>
  <c r="M28" i="3"/>
  <c r="L28" i="3"/>
  <c r="K28" i="3"/>
  <c r="J28" i="3"/>
  <c r="I28" i="3"/>
  <c r="H28" i="3"/>
  <c r="G28" i="3"/>
  <c r="F28" i="3"/>
  <c r="E28" i="3"/>
  <c r="D28" i="3"/>
  <c r="C28" i="3"/>
  <c r="B28" i="3"/>
  <c r="AH27" i="3"/>
  <c r="AG27" i="3"/>
  <c r="AF27" i="3"/>
  <c r="AE27" i="3"/>
  <c r="AD27" i="3"/>
  <c r="AC27" i="3"/>
  <c r="AB27" i="3"/>
  <c r="AA27" i="3"/>
  <c r="Z27" i="3"/>
  <c r="Y27" i="3"/>
  <c r="X27" i="3"/>
  <c r="W27" i="3"/>
  <c r="V27" i="3"/>
  <c r="U27" i="3"/>
  <c r="T27" i="3"/>
  <c r="S27" i="3"/>
  <c r="R27" i="3"/>
  <c r="Q27" i="3"/>
  <c r="P27" i="3"/>
  <c r="O27" i="3"/>
  <c r="N27" i="3"/>
  <c r="M27" i="3"/>
  <c r="L27" i="3"/>
  <c r="K27" i="3"/>
  <c r="J27" i="3"/>
  <c r="I27" i="3"/>
  <c r="H27" i="3"/>
  <c r="G27" i="3"/>
  <c r="F27" i="3"/>
  <c r="E27" i="3"/>
  <c r="D27" i="3"/>
  <c r="C27" i="3"/>
  <c r="B27" i="3"/>
  <c r="AH26" i="3"/>
  <c r="AG26" i="3"/>
  <c r="AF26" i="3"/>
  <c r="AE26" i="3"/>
  <c r="AD26" i="3"/>
  <c r="AC26" i="3"/>
  <c r="AB26" i="3"/>
  <c r="AA26" i="3"/>
  <c r="Z26" i="3"/>
  <c r="Y26" i="3"/>
  <c r="X26" i="3"/>
  <c r="W26" i="3"/>
  <c r="V26" i="3"/>
  <c r="U26" i="3"/>
  <c r="T26" i="3"/>
  <c r="S26" i="3"/>
  <c r="R26" i="3"/>
  <c r="Q26" i="3"/>
  <c r="P26" i="3"/>
  <c r="O26" i="3"/>
  <c r="N26" i="3"/>
  <c r="M26" i="3"/>
  <c r="L26" i="3"/>
  <c r="K26" i="3"/>
  <c r="J26" i="3"/>
  <c r="I26" i="3"/>
  <c r="H26" i="3"/>
  <c r="G26" i="3"/>
  <c r="F26" i="3"/>
  <c r="E26" i="3"/>
  <c r="D26" i="3"/>
  <c r="C26" i="3"/>
  <c r="B26" i="3"/>
  <c r="AH25" i="3"/>
  <c r="AG25" i="3"/>
  <c r="AF25" i="3"/>
  <c r="AE25" i="3"/>
  <c r="AD25" i="3"/>
  <c r="AC25" i="3"/>
  <c r="AB25" i="3"/>
  <c r="AA25" i="3"/>
  <c r="Z25" i="3"/>
  <c r="Y25" i="3"/>
  <c r="X25" i="3"/>
  <c r="W25" i="3"/>
  <c r="V25" i="3"/>
  <c r="U25" i="3"/>
  <c r="T25" i="3"/>
  <c r="S25" i="3"/>
  <c r="R25" i="3"/>
  <c r="Q25" i="3"/>
  <c r="P25" i="3"/>
  <c r="O25" i="3"/>
  <c r="N25" i="3"/>
  <c r="M25" i="3"/>
  <c r="L25" i="3"/>
  <c r="K25" i="3"/>
  <c r="J25" i="3"/>
  <c r="I25" i="3"/>
  <c r="H25" i="3"/>
  <c r="G25" i="3"/>
  <c r="F25" i="3"/>
  <c r="E25" i="3"/>
  <c r="D25" i="3"/>
  <c r="C25" i="3"/>
  <c r="B25" i="3"/>
  <c r="AH24" i="3"/>
  <c r="AG24" i="3"/>
  <c r="AF24" i="3"/>
  <c r="AE24" i="3"/>
  <c r="AD24" i="3"/>
  <c r="AC24" i="3"/>
  <c r="AB24" i="3"/>
  <c r="AA24" i="3"/>
  <c r="Z24" i="3"/>
  <c r="Y24" i="3"/>
  <c r="X24" i="3"/>
  <c r="W24" i="3"/>
  <c r="V24" i="3"/>
  <c r="U24" i="3"/>
  <c r="T24" i="3"/>
  <c r="S24" i="3"/>
  <c r="R24" i="3"/>
  <c r="Q24" i="3"/>
  <c r="P24" i="3"/>
  <c r="O24" i="3"/>
  <c r="N24" i="3"/>
  <c r="M24" i="3"/>
  <c r="L24" i="3"/>
  <c r="K24" i="3"/>
  <c r="J24" i="3"/>
  <c r="I24" i="3"/>
  <c r="H24" i="3"/>
  <c r="G24" i="3"/>
  <c r="F24" i="3"/>
  <c r="E24" i="3"/>
  <c r="D24" i="3"/>
  <c r="C24" i="3"/>
  <c r="B24" i="3"/>
  <c r="AH23" i="3"/>
  <c r="AG23" i="3"/>
  <c r="AF23" i="3"/>
  <c r="AE23" i="3"/>
  <c r="AD23" i="3"/>
  <c r="AC23" i="3"/>
  <c r="AB23" i="3"/>
  <c r="AA23" i="3"/>
  <c r="Z23" i="3"/>
  <c r="Y23" i="3"/>
  <c r="X23" i="3"/>
  <c r="W23" i="3"/>
  <c r="V23" i="3"/>
  <c r="U23" i="3"/>
  <c r="T23" i="3"/>
  <c r="S23" i="3"/>
  <c r="R23" i="3"/>
  <c r="Q23" i="3"/>
  <c r="P23" i="3"/>
  <c r="O23" i="3"/>
  <c r="N23" i="3"/>
  <c r="M23" i="3"/>
  <c r="L23" i="3"/>
  <c r="K23" i="3"/>
  <c r="J23" i="3"/>
  <c r="I23" i="3"/>
  <c r="H23" i="3"/>
  <c r="G23" i="3"/>
  <c r="F23" i="3"/>
  <c r="E23" i="3"/>
  <c r="D23" i="3"/>
  <c r="C23" i="3"/>
  <c r="B23" i="3"/>
  <c r="AH22" i="3"/>
  <c r="AG22" i="3"/>
  <c r="AF22" i="3"/>
  <c r="AE22" i="3"/>
  <c r="AD22" i="3"/>
  <c r="AC22" i="3"/>
  <c r="AB22" i="3"/>
  <c r="AA22" i="3"/>
  <c r="Z22" i="3"/>
  <c r="Y22" i="3"/>
  <c r="X22" i="3"/>
  <c r="W22" i="3"/>
  <c r="V22" i="3"/>
  <c r="U22" i="3"/>
  <c r="T22" i="3"/>
  <c r="S22" i="3"/>
  <c r="R22" i="3"/>
  <c r="Q22" i="3"/>
  <c r="P22" i="3"/>
  <c r="O22" i="3"/>
  <c r="N22" i="3"/>
  <c r="M22" i="3"/>
  <c r="L22" i="3"/>
  <c r="K22" i="3"/>
  <c r="J22" i="3"/>
  <c r="I22" i="3"/>
  <c r="H22" i="3"/>
  <c r="G22" i="3"/>
  <c r="F22" i="3"/>
  <c r="E22" i="3"/>
  <c r="D22" i="3"/>
  <c r="C22" i="3"/>
  <c r="B22" i="3"/>
  <c r="AH21" i="3"/>
  <c r="AG21" i="3"/>
  <c r="AF21" i="3"/>
  <c r="AE21" i="3"/>
  <c r="AD21" i="3"/>
  <c r="AC21" i="3"/>
  <c r="AB21" i="3"/>
  <c r="AA21" i="3"/>
  <c r="Z21" i="3"/>
  <c r="Y21" i="3"/>
  <c r="X21" i="3"/>
  <c r="W21" i="3"/>
  <c r="V21" i="3"/>
  <c r="U21" i="3"/>
  <c r="T21" i="3"/>
  <c r="S21" i="3"/>
  <c r="R21" i="3"/>
  <c r="Q21" i="3"/>
  <c r="P21" i="3"/>
  <c r="O21" i="3"/>
  <c r="N21" i="3"/>
  <c r="M21" i="3"/>
  <c r="L21" i="3"/>
  <c r="K21" i="3"/>
  <c r="J21" i="3"/>
  <c r="I21" i="3"/>
  <c r="H21" i="3"/>
  <c r="G21" i="3"/>
  <c r="F21" i="3"/>
  <c r="E21" i="3"/>
  <c r="D21" i="3"/>
  <c r="C21" i="3"/>
  <c r="B21" i="3"/>
  <c r="AH20" i="3"/>
  <c r="AG20" i="3"/>
  <c r="AF20" i="3"/>
  <c r="AE20" i="3"/>
  <c r="AD20" i="3"/>
  <c r="AC20" i="3"/>
  <c r="AB20" i="3"/>
  <c r="AA20" i="3"/>
  <c r="Z20" i="3"/>
  <c r="Y20" i="3"/>
  <c r="X20" i="3"/>
  <c r="W20" i="3"/>
  <c r="V20" i="3"/>
  <c r="U20" i="3"/>
  <c r="T20" i="3"/>
  <c r="S20" i="3"/>
  <c r="R20" i="3"/>
  <c r="Q20" i="3"/>
  <c r="P20" i="3"/>
  <c r="O20" i="3"/>
  <c r="N20" i="3"/>
  <c r="M20" i="3"/>
  <c r="L20" i="3"/>
  <c r="K20" i="3"/>
  <c r="J20" i="3"/>
  <c r="I20" i="3"/>
  <c r="H20" i="3"/>
  <c r="G20" i="3"/>
  <c r="F20" i="3"/>
  <c r="E20" i="3"/>
  <c r="D20" i="3"/>
  <c r="C20" i="3"/>
  <c r="B20" i="3"/>
  <c r="AH19" i="3"/>
  <c r="AG19" i="3"/>
  <c r="AF19" i="3"/>
  <c r="AE19" i="3"/>
  <c r="AD19" i="3"/>
  <c r="AC19" i="3"/>
  <c r="AB19" i="3"/>
  <c r="AA19" i="3"/>
  <c r="Z19" i="3"/>
  <c r="Y19" i="3"/>
  <c r="X19" i="3"/>
  <c r="W19" i="3"/>
  <c r="V19" i="3"/>
  <c r="U19" i="3"/>
  <c r="T19" i="3"/>
  <c r="S19" i="3"/>
  <c r="R19" i="3"/>
  <c r="Q19" i="3"/>
  <c r="P19" i="3"/>
  <c r="O19" i="3"/>
  <c r="N19" i="3"/>
  <c r="M19" i="3"/>
  <c r="L19" i="3"/>
  <c r="K19" i="3"/>
  <c r="J19" i="3"/>
  <c r="I19" i="3"/>
  <c r="H19" i="3"/>
  <c r="G19" i="3"/>
  <c r="F19" i="3"/>
  <c r="E19" i="3"/>
  <c r="D19" i="3"/>
  <c r="C19" i="3"/>
  <c r="B19" i="3"/>
  <c r="AH18" i="3"/>
  <c r="AG18" i="3"/>
  <c r="AF18" i="3"/>
  <c r="AE18" i="3"/>
  <c r="AD18" i="3"/>
  <c r="AC18" i="3"/>
  <c r="AB18" i="3"/>
  <c r="AA18" i="3"/>
  <c r="Z18" i="3"/>
  <c r="Y18" i="3"/>
  <c r="X18" i="3"/>
  <c r="W18" i="3"/>
  <c r="V18" i="3"/>
  <c r="U18" i="3"/>
  <c r="T18" i="3"/>
  <c r="S18" i="3"/>
  <c r="R18" i="3"/>
  <c r="Q18" i="3"/>
  <c r="P18" i="3"/>
  <c r="O18" i="3"/>
  <c r="N18" i="3"/>
  <c r="M18" i="3"/>
  <c r="L18" i="3"/>
  <c r="K18" i="3"/>
  <c r="J18" i="3"/>
  <c r="I18" i="3"/>
  <c r="H18" i="3"/>
  <c r="G18" i="3"/>
  <c r="F18" i="3"/>
  <c r="E18" i="3"/>
  <c r="D18" i="3"/>
  <c r="C18" i="3"/>
  <c r="B18" i="3"/>
  <c r="AH17" i="3"/>
  <c r="AG17" i="3"/>
  <c r="AF17" i="3"/>
  <c r="AE17" i="3"/>
  <c r="AD17" i="3"/>
  <c r="AC17" i="3"/>
  <c r="AB17" i="3"/>
  <c r="AA17" i="3"/>
  <c r="Z17" i="3"/>
  <c r="Y17" i="3"/>
  <c r="X17" i="3"/>
  <c r="W17" i="3"/>
  <c r="V17" i="3"/>
  <c r="U17" i="3"/>
  <c r="T17" i="3"/>
  <c r="S17" i="3"/>
  <c r="R17" i="3"/>
  <c r="Q17" i="3"/>
  <c r="P17" i="3"/>
  <c r="O17" i="3"/>
  <c r="N17" i="3"/>
  <c r="M17" i="3"/>
  <c r="L17" i="3"/>
  <c r="K17" i="3"/>
  <c r="J17" i="3"/>
  <c r="I17" i="3"/>
  <c r="H17" i="3"/>
  <c r="G17" i="3"/>
  <c r="F17" i="3"/>
  <c r="E17" i="3"/>
  <c r="D17" i="3"/>
  <c r="C17" i="3"/>
  <c r="B17" i="3"/>
  <c r="AH16" i="3"/>
  <c r="AG16" i="3"/>
  <c r="AF16" i="3"/>
  <c r="AE16" i="3"/>
  <c r="AD16" i="3"/>
  <c r="AC16" i="3"/>
  <c r="AB16" i="3"/>
  <c r="AA16" i="3"/>
  <c r="Z16" i="3"/>
  <c r="Y16" i="3"/>
  <c r="X16" i="3"/>
  <c r="W16" i="3"/>
  <c r="V16" i="3"/>
  <c r="U16" i="3"/>
  <c r="T16" i="3"/>
  <c r="S16" i="3"/>
  <c r="R16" i="3"/>
  <c r="Q16" i="3"/>
  <c r="P16" i="3"/>
  <c r="O16" i="3"/>
  <c r="N16" i="3"/>
  <c r="M16" i="3"/>
  <c r="L16" i="3"/>
  <c r="K16" i="3"/>
  <c r="J16" i="3"/>
  <c r="I16" i="3"/>
  <c r="H16" i="3"/>
  <c r="G16" i="3"/>
  <c r="F16" i="3"/>
  <c r="E16" i="3"/>
  <c r="D16" i="3"/>
  <c r="C16" i="3"/>
  <c r="B16" i="3"/>
  <c r="AH15" i="3"/>
  <c r="AG15" i="3"/>
  <c r="AF15" i="3"/>
  <c r="AE15" i="3"/>
  <c r="AD15" i="3"/>
  <c r="AC15" i="3"/>
  <c r="AB15" i="3"/>
  <c r="AA15" i="3"/>
  <c r="Z15" i="3"/>
  <c r="Y15" i="3"/>
  <c r="X15" i="3"/>
  <c r="W15" i="3"/>
  <c r="V15" i="3"/>
  <c r="U15" i="3"/>
  <c r="T15" i="3"/>
  <c r="S15" i="3"/>
  <c r="R15" i="3"/>
  <c r="Q15" i="3"/>
  <c r="P15" i="3"/>
  <c r="O15" i="3"/>
  <c r="N15" i="3"/>
  <c r="M15" i="3"/>
  <c r="L15" i="3"/>
  <c r="K15" i="3"/>
  <c r="J15" i="3"/>
  <c r="I15" i="3"/>
  <c r="H15" i="3"/>
  <c r="G15" i="3"/>
  <c r="F15" i="3"/>
  <c r="E15" i="3"/>
  <c r="D15" i="3"/>
  <c r="C15" i="3"/>
  <c r="B15" i="3"/>
  <c r="AH14" i="3"/>
  <c r="AG14" i="3"/>
  <c r="AF14" i="3"/>
  <c r="AE14" i="3"/>
  <c r="AD14" i="3"/>
  <c r="AC14" i="3"/>
  <c r="AB14" i="3"/>
  <c r="AA14" i="3"/>
  <c r="Z14" i="3"/>
  <c r="Y14" i="3"/>
  <c r="X14" i="3"/>
  <c r="W14" i="3"/>
  <c r="V14" i="3"/>
  <c r="U14" i="3"/>
  <c r="T14" i="3"/>
  <c r="S14" i="3"/>
  <c r="R14" i="3"/>
  <c r="Q14" i="3"/>
  <c r="P14" i="3"/>
  <c r="O14" i="3"/>
  <c r="N14" i="3"/>
  <c r="M14" i="3"/>
  <c r="L14" i="3"/>
  <c r="K14" i="3"/>
  <c r="J14" i="3"/>
  <c r="I14" i="3"/>
  <c r="H14" i="3"/>
  <c r="G14" i="3"/>
  <c r="F14" i="3"/>
  <c r="E14" i="3"/>
  <c r="D14" i="3"/>
  <c r="C14" i="3"/>
  <c r="B14" i="3"/>
  <c r="AH13" i="3"/>
  <c r="AG13" i="3"/>
  <c r="AF13" i="3"/>
  <c r="AE13" i="3"/>
  <c r="AD13" i="3"/>
  <c r="AC13" i="3"/>
  <c r="AB13" i="3"/>
  <c r="AA13" i="3"/>
  <c r="Z13" i="3"/>
  <c r="Y13" i="3"/>
  <c r="X13" i="3"/>
  <c r="W13" i="3"/>
  <c r="V13" i="3"/>
  <c r="U13" i="3"/>
  <c r="T13" i="3"/>
  <c r="S13" i="3"/>
  <c r="R13" i="3"/>
  <c r="Q13" i="3"/>
  <c r="P13" i="3"/>
  <c r="O13" i="3"/>
  <c r="N13" i="3"/>
  <c r="M13" i="3"/>
  <c r="L13" i="3"/>
  <c r="K13" i="3"/>
  <c r="J13" i="3"/>
  <c r="I13" i="3"/>
  <c r="H13" i="3"/>
  <c r="G13" i="3"/>
  <c r="F13" i="3"/>
  <c r="E13" i="3"/>
  <c r="D13" i="3"/>
  <c r="C13" i="3"/>
  <c r="B13" i="3"/>
  <c r="AH12" i="3"/>
  <c r="AG12" i="3"/>
  <c r="AF12" i="3"/>
  <c r="AE12" i="3"/>
  <c r="AD12" i="3"/>
  <c r="AC12" i="3"/>
  <c r="AB12" i="3"/>
  <c r="AA12" i="3"/>
  <c r="Z12" i="3"/>
  <c r="Y12" i="3"/>
  <c r="X12" i="3"/>
  <c r="W12" i="3"/>
  <c r="V12" i="3"/>
  <c r="U12" i="3"/>
  <c r="T12" i="3"/>
  <c r="S12" i="3"/>
  <c r="R12" i="3"/>
  <c r="Q12" i="3"/>
  <c r="P12" i="3"/>
  <c r="O12" i="3"/>
  <c r="N12" i="3"/>
  <c r="M12" i="3"/>
  <c r="L12" i="3"/>
  <c r="K12" i="3"/>
  <c r="J12" i="3"/>
  <c r="I12" i="3"/>
  <c r="H12" i="3"/>
  <c r="G12" i="3"/>
  <c r="F12" i="3"/>
  <c r="E12" i="3"/>
  <c r="D12" i="3"/>
  <c r="C12" i="3"/>
  <c r="B12" i="3"/>
  <c r="AH11" i="3"/>
  <c r="AG11" i="3"/>
  <c r="AF11" i="3"/>
  <c r="AE11" i="3"/>
  <c r="AD11" i="3"/>
  <c r="AC11" i="3"/>
  <c r="AB11" i="3"/>
  <c r="AA11" i="3"/>
  <c r="Z11" i="3"/>
  <c r="Y11" i="3"/>
  <c r="X11" i="3"/>
  <c r="W11" i="3"/>
  <c r="V11" i="3"/>
  <c r="U11" i="3"/>
  <c r="T11" i="3"/>
  <c r="S11" i="3"/>
  <c r="R11" i="3"/>
  <c r="Q11" i="3"/>
  <c r="P11" i="3"/>
  <c r="O11" i="3"/>
  <c r="N11" i="3"/>
  <c r="M11" i="3"/>
  <c r="L11" i="3"/>
  <c r="K11" i="3"/>
  <c r="J11" i="3"/>
  <c r="I11" i="3"/>
  <c r="H11" i="3"/>
  <c r="G11" i="3"/>
  <c r="F11" i="3"/>
  <c r="E11" i="3"/>
  <c r="D11" i="3"/>
  <c r="C11" i="3"/>
  <c r="B11" i="3"/>
  <c r="AH10" i="3"/>
  <c r="AG10" i="3"/>
  <c r="AF10" i="3"/>
  <c r="AE10" i="3"/>
  <c r="AD10" i="3"/>
  <c r="AC10" i="3"/>
  <c r="AB10" i="3"/>
  <c r="AA10" i="3"/>
  <c r="Z10" i="3"/>
  <c r="Y10" i="3"/>
  <c r="X10" i="3"/>
  <c r="W10" i="3"/>
  <c r="V10" i="3"/>
  <c r="U10" i="3"/>
  <c r="T10" i="3"/>
  <c r="S10" i="3"/>
  <c r="R10" i="3"/>
  <c r="Q10" i="3"/>
  <c r="P10" i="3"/>
  <c r="O10" i="3"/>
  <c r="N10" i="3"/>
  <c r="M10" i="3"/>
  <c r="L10" i="3"/>
  <c r="K10" i="3"/>
  <c r="J10" i="3"/>
  <c r="I10" i="3"/>
  <c r="H10" i="3"/>
  <c r="G10" i="3"/>
  <c r="F10" i="3"/>
  <c r="E10" i="3"/>
  <c r="D10" i="3"/>
  <c r="C10" i="3"/>
  <c r="B10" i="3"/>
  <c r="AH9" i="3"/>
  <c r="AG9" i="3"/>
  <c r="AF9" i="3"/>
  <c r="AE9" i="3"/>
  <c r="AD9" i="3"/>
  <c r="AC9" i="3"/>
  <c r="AB9" i="3"/>
  <c r="AA9" i="3"/>
  <c r="Z9" i="3"/>
  <c r="Y9" i="3"/>
  <c r="X9" i="3"/>
  <c r="W9" i="3"/>
  <c r="V9" i="3"/>
  <c r="U9" i="3"/>
  <c r="T9" i="3"/>
  <c r="S9" i="3"/>
  <c r="R9" i="3"/>
  <c r="Q9" i="3"/>
  <c r="P9" i="3"/>
  <c r="O9" i="3"/>
  <c r="N9" i="3"/>
  <c r="M9" i="3"/>
  <c r="L9" i="3"/>
  <c r="K9" i="3"/>
  <c r="J9" i="3"/>
  <c r="I9" i="3"/>
  <c r="H9" i="3"/>
  <c r="G9" i="3"/>
  <c r="F9" i="3"/>
  <c r="E9" i="3"/>
  <c r="D9" i="3"/>
  <c r="C9" i="3"/>
  <c r="B9" i="3"/>
  <c r="AH8" i="3"/>
  <c r="AG8" i="3"/>
  <c r="AF8" i="3"/>
  <c r="AE8" i="3"/>
  <c r="AD8" i="3"/>
  <c r="AC8" i="3"/>
  <c r="AB8" i="3"/>
  <c r="AA8" i="3"/>
  <c r="Z8" i="3"/>
  <c r="Y8" i="3"/>
  <c r="X8" i="3"/>
  <c r="W8" i="3"/>
  <c r="V8" i="3"/>
  <c r="U8" i="3"/>
  <c r="T8" i="3"/>
  <c r="S8" i="3"/>
  <c r="R8" i="3"/>
  <c r="Q8" i="3"/>
  <c r="P8" i="3"/>
  <c r="O8" i="3"/>
  <c r="N8" i="3"/>
  <c r="M8" i="3"/>
  <c r="L8" i="3"/>
  <c r="K8" i="3"/>
  <c r="J8" i="3"/>
  <c r="I8" i="3"/>
  <c r="H8" i="3"/>
  <c r="G8" i="3"/>
  <c r="F8" i="3"/>
  <c r="E8" i="3"/>
  <c r="D8" i="3"/>
  <c r="C8" i="3"/>
  <c r="B8" i="3"/>
  <c r="AH7" i="3"/>
  <c r="AG7" i="3"/>
  <c r="AF7" i="3"/>
  <c r="AE7" i="3"/>
  <c r="AD7" i="3"/>
  <c r="AC7" i="3"/>
  <c r="AB7" i="3"/>
  <c r="AA7" i="3"/>
  <c r="Z7" i="3"/>
  <c r="Y7" i="3"/>
  <c r="X7" i="3"/>
  <c r="W7" i="3"/>
  <c r="V7" i="3"/>
  <c r="U7" i="3"/>
  <c r="T7" i="3"/>
  <c r="S7" i="3"/>
  <c r="R7" i="3"/>
  <c r="Q7" i="3"/>
  <c r="P7" i="3"/>
  <c r="O7" i="3"/>
  <c r="N7" i="3"/>
  <c r="M7" i="3"/>
  <c r="L7" i="3"/>
  <c r="K7" i="3"/>
  <c r="J7" i="3"/>
  <c r="I7" i="3"/>
  <c r="H7" i="3"/>
  <c r="G7" i="3"/>
  <c r="F7" i="3"/>
  <c r="E7" i="3"/>
  <c r="D7" i="3"/>
  <c r="C7" i="3"/>
  <c r="B7" i="3"/>
  <c r="AH6" i="3"/>
  <c r="AG6" i="3"/>
  <c r="AF6" i="3"/>
  <c r="AE6" i="3"/>
  <c r="AD6" i="3"/>
  <c r="AC6" i="3"/>
  <c r="AB6" i="3"/>
  <c r="AA6" i="3"/>
  <c r="Z6" i="3"/>
  <c r="Y6" i="3"/>
  <c r="X6" i="3"/>
  <c r="W6" i="3"/>
  <c r="V6" i="3"/>
  <c r="U6" i="3"/>
  <c r="T6" i="3"/>
  <c r="S6" i="3"/>
  <c r="R6" i="3"/>
  <c r="Q6" i="3"/>
  <c r="P6" i="3"/>
  <c r="O6" i="3"/>
  <c r="N6" i="3"/>
  <c r="M6" i="3"/>
  <c r="L6" i="3"/>
  <c r="K6" i="3"/>
  <c r="J6" i="3"/>
  <c r="I6" i="3"/>
  <c r="H6" i="3"/>
  <c r="G6" i="3"/>
  <c r="F6" i="3"/>
  <c r="E6" i="3"/>
  <c r="D6" i="3"/>
  <c r="C6" i="3"/>
  <c r="B6" i="3"/>
  <c r="AH5" i="3"/>
  <c r="AG5" i="3"/>
  <c r="AF5" i="3"/>
  <c r="AE5" i="3"/>
  <c r="AD5" i="3"/>
  <c r="AC5" i="3"/>
  <c r="AB5" i="3"/>
  <c r="AA5" i="3"/>
  <c r="Z5" i="3"/>
  <c r="Y5" i="3"/>
  <c r="X5" i="3"/>
  <c r="W5" i="3"/>
  <c r="V5" i="3"/>
  <c r="U5" i="3"/>
  <c r="T5" i="3"/>
  <c r="S5" i="3"/>
  <c r="R5" i="3"/>
  <c r="Q5" i="3"/>
  <c r="P5" i="3"/>
  <c r="O5" i="3"/>
  <c r="N5" i="3"/>
  <c r="M5" i="3"/>
  <c r="L5" i="3"/>
  <c r="K5" i="3"/>
  <c r="J5" i="3"/>
  <c r="I5" i="3"/>
  <c r="H5" i="3"/>
  <c r="G5" i="3"/>
  <c r="F5" i="3"/>
  <c r="E5" i="3"/>
  <c r="D5" i="3"/>
  <c r="C5" i="3"/>
  <c r="B5" i="3"/>
  <c r="AH40" i="2"/>
  <c r="AG40" i="2"/>
  <c r="AF40" i="2"/>
  <c r="AE40" i="2"/>
  <c r="AD40" i="2"/>
  <c r="AC40" i="2"/>
  <c r="AB40" i="2"/>
  <c r="AA40" i="2"/>
  <c r="Z40" i="2"/>
  <c r="Y40" i="2"/>
  <c r="X40" i="2"/>
  <c r="W40" i="2"/>
  <c r="V40" i="2"/>
  <c r="U40" i="2"/>
  <c r="T40" i="2"/>
  <c r="S40" i="2"/>
  <c r="R40" i="2"/>
  <c r="Q40" i="2"/>
  <c r="P40" i="2"/>
  <c r="O40" i="2"/>
  <c r="N40" i="2"/>
  <c r="M40" i="2"/>
  <c r="L40" i="2"/>
  <c r="K40" i="2"/>
  <c r="J40" i="2"/>
  <c r="I40" i="2"/>
  <c r="H40" i="2"/>
  <c r="G40" i="2"/>
  <c r="F40" i="2"/>
  <c r="E40" i="2"/>
  <c r="D40" i="2"/>
  <c r="C40" i="2"/>
  <c r="B40" i="2"/>
  <c r="AH39" i="2"/>
  <c r="AG39" i="2"/>
  <c r="AF39" i="2"/>
  <c r="AE39" i="2"/>
  <c r="AD39" i="2"/>
  <c r="AC39" i="2"/>
  <c r="AB39" i="2"/>
  <c r="AA39" i="2"/>
  <c r="Z39" i="2"/>
  <c r="Y39" i="2"/>
  <c r="X39" i="2"/>
  <c r="W39" i="2"/>
  <c r="V39" i="2"/>
  <c r="U39" i="2"/>
  <c r="T39" i="2"/>
  <c r="S39" i="2"/>
  <c r="R39" i="2"/>
  <c r="Q39" i="2"/>
  <c r="P39" i="2"/>
  <c r="O39" i="2"/>
  <c r="N39" i="2"/>
  <c r="M39" i="2"/>
  <c r="L39" i="2"/>
  <c r="K39" i="2"/>
  <c r="J39" i="2"/>
  <c r="I39" i="2"/>
  <c r="H39" i="2"/>
  <c r="G39" i="2"/>
  <c r="F39" i="2"/>
  <c r="E39" i="2"/>
  <c r="D39" i="2"/>
  <c r="C39" i="2"/>
  <c r="B39" i="2"/>
  <c r="AH38" i="2"/>
  <c r="AG38" i="2"/>
  <c r="AF38" i="2"/>
  <c r="AE38" i="2"/>
  <c r="AD38" i="2"/>
  <c r="AC38" i="2"/>
  <c r="AB38" i="2"/>
  <c r="AA38" i="2"/>
  <c r="Z38" i="2"/>
  <c r="Y38" i="2"/>
  <c r="X38" i="2"/>
  <c r="W38" i="2"/>
  <c r="V38" i="2"/>
  <c r="U38" i="2"/>
  <c r="T38" i="2"/>
  <c r="S38" i="2"/>
  <c r="R38" i="2"/>
  <c r="Q38" i="2"/>
  <c r="P38" i="2"/>
  <c r="O38" i="2"/>
  <c r="N38" i="2"/>
  <c r="M38" i="2"/>
  <c r="L38" i="2"/>
  <c r="K38" i="2"/>
  <c r="J38" i="2"/>
  <c r="I38" i="2"/>
  <c r="H38" i="2"/>
  <c r="G38" i="2"/>
  <c r="F38" i="2"/>
  <c r="E38" i="2"/>
  <c r="D38" i="2"/>
  <c r="C38" i="2"/>
  <c r="B38" i="2"/>
  <c r="AH37" i="2"/>
  <c r="AG37" i="2"/>
  <c r="AF37" i="2"/>
  <c r="AE37" i="2"/>
  <c r="AD37" i="2"/>
  <c r="AC37" i="2"/>
  <c r="AB37" i="2"/>
  <c r="AA37" i="2"/>
  <c r="Z37" i="2"/>
  <c r="Y37" i="2"/>
  <c r="X37" i="2"/>
  <c r="W37" i="2"/>
  <c r="V37" i="2"/>
  <c r="U37" i="2"/>
  <c r="T37" i="2"/>
  <c r="S37" i="2"/>
  <c r="R37" i="2"/>
  <c r="Q37" i="2"/>
  <c r="P37" i="2"/>
  <c r="O37" i="2"/>
  <c r="N37" i="2"/>
  <c r="M37" i="2"/>
  <c r="L37" i="2"/>
  <c r="K37" i="2"/>
  <c r="J37" i="2"/>
  <c r="I37" i="2"/>
  <c r="H37" i="2"/>
  <c r="G37" i="2"/>
  <c r="F37" i="2"/>
  <c r="E37" i="2"/>
  <c r="D37" i="2"/>
  <c r="C37" i="2"/>
  <c r="B37" i="2"/>
  <c r="AH36" i="2"/>
  <c r="AG36" i="2"/>
  <c r="AF36" i="2"/>
  <c r="AE36" i="2"/>
  <c r="AD36" i="2"/>
  <c r="AC36" i="2"/>
  <c r="AB36" i="2"/>
  <c r="AA36" i="2"/>
  <c r="Z36" i="2"/>
  <c r="Y36" i="2"/>
  <c r="X36" i="2"/>
  <c r="W36" i="2"/>
  <c r="V36" i="2"/>
  <c r="U36" i="2"/>
  <c r="T36" i="2"/>
  <c r="S36" i="2"/>
  <c r="R36" i="2"/>
  <c r="Q36" i="2"/>
  <c r="P36" i="2"/>
  <c r="O36" i="2"/>
  <c r="N36" i="2"/>
  <c r="M36" i="2"/>
  <c r="L36" i="2"/>
  <c r="K36" i="2"/>
  <c r="J36" i="2"/>
  <c r="I36" i="2"/>
  <c r="H36" i="2"/>
  <c r="G36" i="2"/>
  <c r="F36" i="2"/>
  <c r="E36" i="2"/>
  <c r="D36" i="2"/>
  <c r="C36" i="2"/>
  <c r="B36" i="2"/>
  <c r="AH35" i="2"/>
  <c r="AG35" i="2"/>
  <c r="AF35" i="2"/>
  <c r="AE35" i="2"/>
  <c r="AD35" i="2"/>
  <c r="AC35" i="2"/>
  <c r="AB35" i="2"/>
  <c r="AA35" i="2"/>
  <c r="Z35" i="2"/>
  <c r="Y35" i="2"/>
  <c r="X35" i="2"/>
  <c r="W35" i="2"/>
  <c r="V35" i="2"/>
  <c r="U35" i="2"/>
  <c r="T35" i="2"/>
  <c r="S35" i="2"/>
  <c r="R35" i="2"/>
  <c r="Q35" i="2"/>
  <c r="P35" i="2"/>
  <c r="O35" i="2"/>
  <c r="N35" i="2"/>
  <c r="M35" i="2"/>
  <c r="L35" i="2"/>
  <c r="K35" i="2"/>
  <c r="J35" i="2"/>
  <c r="I35" i="2"/>
  <c r="H35" i="2"/>
  <c r="G35" i="2"/>
  <c r="F35" i="2"/>
  <c r="E35" i="2"/>
  <c r="D35" i="2"/>
  <c r="C35" i="2"/>
  <c r="B35" i="2"/>
  <c r="AH34" i="2"/>
  <c r="AG34" i="2"/>
  <c r="AF34" i="2"/>
  <c r="AE34" i="2"/>
  <c r="AD34" i="2"/>
  <c r="AC34" i="2"/>
  <c r="AB34" i="2"/>
  <c r="AA34" i="2"/>
  <c r="Z34" i="2"/>
  <c r="Y34" i="2"/>
  <c r="X34" i="2"/>
  <c r="W34" i="2"/>
  <c r="V34" i="2"/>
  <c r="U34" i="2"/>
  <c r="T34" i="2"/>
  <c r="S34" i="2"/>
  <c r="R34" i="2"/>
  <c r="Q34" i="2"/>
  <c r="P34" i="2"/>
  <c r="O34" i="2"/>
  <c r="N34" i="2"/>
  <c r="M34" i="2"/>
  <c r="L34" i="2"/>
  <c r="K34" i="2"/>
  <c r="J34" i="2"/>
  <c r="I34" i="2"/>
  <c r="H34" i="2"/>
  <c r="G34" i="2"/>
  <c r="F34" i="2"/>
  <c r="E34" i="2"/>
  <c r="D34" i="2"/>
  <c r="C34" i="2"/>
  <c r="B34" i="2"/>
  <c r="AH33" i="2"/>
  <c r="AG33" i="2"/>
  <c r="AF33" i="2"/>
  <c r="AE33" i="2"/>
  <c r="AD33" i="2"/>
  <c r="AC33" i="2"/>
  <c r="AB33" i="2"/>
  <c r="AA33" i="2"/>
  <c r="Z33" i="2"/>
  <c r="Y33" i="2"/>
  <c r="X33" i="2"/>
  <c r="W33" i="2"/>
  <c r="V33" i="2"/>
  <c r="U33" i="2"/>
  <c r="T33" i="2"/>
  <c r="S33" i="2"/>
  <c r="R33" i="2"/>
  <c r="Q33" i="2"/>
  <c r="P33" i="2"/>
  <c r="O33" i="2"/>
  <c r="N33" i="2"/>
  <c r="M33" i="2"/>
  <c r="L33" i="2"/>
  <c r="K33" i="2"/>
  <c r="J33" i="2"/>
  <c r="I33" i="2"/>
  <c r="H33" i="2"/>
  <c r="G33" i="2"/>
  <c r="F33" i="2"/>
  <c r="E33" i="2"/>
  <c r="D33" i="2"/>
  <c r="C33" i="2"/>
  <c r="B33" i="2"/>
  <c r="AH32" i="2"/>
  <c r="AG32" i="2"/>
  <c r="AF32" i="2"/>
  <c r="AE32" i="2"/>
  <c r="AD32" i="2"/>
  <c r="AC32" i="2"/>
  <c r="AB32" i="2"/>
  <c r="AA32" i="2"/>
  <c r="Z32" i="2"/>
  <c r="Y32" i="2"/>
  <c r="X32" i="2"/>
  <c r="W32" i="2"/>
  <c r="V32" i="2"/>
  <c r="U32" i="2"/>
  <c r="T32" i="2"/>
  <c r="S32" i="2"/>
  <c r="R32" i="2"/>
  <c r="Q32" i="2"/>
  <c r="P32" i="2"/>
  <c r="O32" i="2"/>
  <c r="N32" i="2"/>
  <c r="M32" i="2"/>
  <c r="L32" i="2"/>
  <c r="K32" i="2"/>
  <c r="J32" i="2"/>
  <c r="I32" i="2"/>
  <c r="H32" i="2"/>
  <c r="G32" i="2"/>
  <c r="F32" i="2"/>
  <c r="E32" i="2"/>
  <c r="D32" i="2"/>
  <c r="C32" i="2"/>
  <c r="B32" i="2"/>
  <c r="AH31" i="2"/>
  <c r="AG31" i="2"/>
  <c r="AF31" i="2"/>
  <c r="AE31" i="2"/>
  <c r="AD31" i="2"/>
  <c r="AC31" i="2"/>
  <c r="AB31" i="2"/>
  <c r="AA31" i="2"/>
  <c r="Z31" i="2"/>
  <c r="Y31" i="2"/>
  <c r="X31" i="2"/>
  <c r="W31" i="2"/>
  <c r="V31" i="2"/>
  <c r="U31" i="2"/>
  <c r="T31" i="2"/>
  <c r="S31" i="2"/>
  <c r="R31" i="2"/>
  <c r="Q31" i="2"/>
  <c r="P31" i="2"/>
  <c r="O31" i="2"/>
  <c r="N31" i="2"/>
  <c r="M31" i="2"/>
  <c r="L31" i="2"/>
  <c r="K31" i="2"/>
  <c r="J31" i="2"/>
  <c r="I31" i="2"/>
  <c r="H31" i="2"/>
  <c r="G31" i="2"/>
  <c r="F31" i="2"/>
  <c r="E31" i="2"/>
  <c r="D31" i="2"/>
  <c r="C31" i="2"/>
  <c r="B31" i="2"/>
  <c r="AH30" i="2"/>
  <c r="AG30" i="2"/>
  <c r="AF30" i="2"/>
  <c r="AE30" i="2"/>
  <c r="AD30" i="2"/>
  <c r="AC30" i="2"/>
  <c r="AB30" i="2"/>
  <c r="AA30" i="2"/>
  <c r="Z30" i="2"/>
  <c r="Y30" i="2"/>
  <c r="X30" i="2"/>
  <c r="W30" i="2"/>
  <c r="V30" i="2"/>
  <c r="U30" i="2"/>
  <c r="T30" i="2"/>
  <c r="S30" i="2"/>
  <c r="R30" i="2"/>
  <c r="Q30" i="2"/>
  <c r="P30" i="2"/>
  <c r="O30" i="2"/>
  <c r="N30" i="2"/>
  <c r="M30" i="2"/>
  <c r="L30" i="2"/>
  <c r="K30" i="2"/>
  <c r="J30" i="2"/>
  <c r="I30" i="2"/>
  <c r="H30" i="2"/>
  <c r="G30" i="2"/>
  <c r="F30" i="2"/>
  <c r="E30" i="2"/>
  <c r="D30" i="2"/>
  <c r="C30" i="2"/>
  <c r="B30" i="2"/>
  <c r="AH29" i="2"/>
  <c r="AG29" i="2"/>
  <c r="AF29" i="2"/>
  <c r="AE29" i="2"/>
  <c r="AD29" i="2"/>
  <c r="AC29" i="2"/>
  <c r="AB29" i="2"/>
  <c r="AA29" i="2"/>
  <c r="Z29" i="2"/>
  <c r="Y29" i="2"/>
  <c r="X29" i="2"/>
  <c r="W29" i="2"/>
  <c r="V29" i="2"/>
  <c r="U29" i="2"/>
  <c r="T29" i="2"/>
  <c r="S29" i="2"/>
  <c r="R29" i="2"/>
  <c r="Q29" i="2"/>
  <c r="P29" i="2"/>
  <c r="O29" i="2"/>
  <c r="N29" i="2"/>
  <c r="M29" i="2"/>
  <c r="L29" i="2"/>
  <c r="K29" i="2"/>
  <c r="J29" i="2"/>
  <c r="I29" i="2"/>
  <c r="H29" i="2"/>
  <c r="G29" i="2"/>
  <c r="F29" i="2"/>
  <c r="E29" i="2"/>
  <c r="D29" i="2"/>
  <c r="C29" i="2"/>
  <c r="B29" i="2"/>
  <c r="AH28" i="2"/>
  <c r="AG28" i="2"/>
  <c r="AF28" i="2"/>
  <c r="AE28" i="2"/>
  <c r="AD28" i="2"/>
  <c r="AC28" i="2"/>
  <c r="AB28" i="2"/>
  <c r="AA28" i="2"/>
  <c r="Z28" i="2"/>
  <c r="Y28" i="2"/>
  <c r="X28" i="2"/>
  <c r="W28" i="2"/>
  <c r="V28" i="2"/>
  <c r="U28" i="2"/>
  <c r="T28" i="2"/>
  <c r="S28" i="2"/>
  <c r="R28" i="2"/>
  <c r="Q28" i="2"/>
  <c r="P28" i="2"/>
  <c r="O28" i="2"/>
  <c r="N28" i="2"/>
  <c r="M28" i="2"/>
  <c r="L28" i="2"/>
  <c r="K28" i="2"/>
  <c r="J28" i="2"/>
  <c r="I28" i="2"/>
  <c r="H28" i="2"/>
  <c r="G28" i="2"/>
  <c r="F28" i="2"/>
  <c r="E28" i="2"/>
  <c r="D28" i="2"/>
  <c r="C28" i="2"/>
  <c r="B28" i="2"/>
  <c r="AH27" i="2"/>
  <c r="AG27" i="2"/>
  <c r="AF27" i="2"/>
  <c r="AE27" i="2"/>
  <c r="AD27" i="2"/>
  <c r="AC27" i="2"/>
  <c r="AB27" i="2"/>
  <c r="AA27" i="2"/>
  <c r="Z27" i="2"/>
  <c r="Y27" i="2"/>
  <c r="X27" i="2"/>
  <c r="W27" i="2"/>
  <c r="V27" i="2"/>
  <c r="U27" i="2"/>
  <c r="T27" i="2"/>
  <c r="S27" i="2"/>
  <c r="R27" i="2"/>
  <c r="Q27" i="2"/>
  <c r="P27" i="2"/>
  <c r="O27" i="2"/>
  <c r="N27" i="2"/>
  <c r="M27" i="2"/>
  <c r="L27" i="2"/>
  <c r="K27" i="2"/>
  <c r="J27" i="2"/>
  <c r="I27" i="2"/>
  <c r="H27" i="2"/>
  <c r="G27" i="2"/>
  <c r="F27" i="2"/>
  <c r="E27" i="2"/>
  <c r="D27" i="2"/>
  <c r="C27" i="2"/>
  <c r="B27" i="2"/>
  <c r="AH26" i="2"/>
  <c r="AG26" i="2"/>
  <c r="AF26" i="2"/>
  <c r="AE26" i="2"/>
  <c r="AD26" i="2"/>
  <c r="AC26" i="2"/>
  <c r="AB26" i="2"/>
  <c r="AA26" i="2"/>
  <c r="Z26" i="2"/>
  <c r="Y26" i="2"/>
  <c r="X26" i="2"/>
  <c r="W26" i="2"/>
  <c r="V26" i="2"/>
  <c r="U26" i="2"/>
  <c r="T26" i="2"/>
  <c r="S26" i="2"/>
  <c r="R26" i="2"/>
  <c r="Q26" i="2"/>
  <c r="P26" i="2"/>
  <c r="O26" i="2"/>
  <c r="N26" i="2"/>
  <c r="M26" i="2"/>
  <c r="L26" i="2"/>
  <c r="K26" i="2"/>
  <c r="J26" i="2"/>
  <c r="I26" i="2"/>
  <c r="H26" i="2"/>
  <c r="G26" i="2"/>
  <c r="F26" i="2"/>
  <c r="E26" i="2"/>
  <c r="D26" i="2"/>
  <c r="C26" i="2"/>
  <c r="B26" i="2"/>
  <c r="AH25" i="2"/>
  <c r="AG25" i="2"/>
  <c r="AF25" i="2"/>
  <c r="AE25" i="2"/>
  <c r="AD25" i="2"/>
  <c r="AC25" i="2"/>
  <c r="AB25" i="2"/>
  <c r="AA25" i="2"/>
  <c r="Z25" i="2"/>
  <c r="Y25" i="2"/>
  <c r="X25" i="2"/>
  <c r="W25" i="2"/>
  <c r="V25" i="2"/>
  <c r="U25" i="2"/>
  <c r="T25" i="2"/>
  <c r="S25" i="2"/>
  <c r="R25" i="2"/>
  <c r="Q25" i="2"/>
  <c r="P25" i="2"/>
  <c r="O25" i="2"/>
  <c r="N25" i="2"/>
  <c r="M25" i="2"/>
  <c r="L25" i="2"/>
  <c r="K25" i="2"/>
  <c r="J25" i="2"/>
  <c r="I25" i="2"/>
  <c r="H25" i="2"/>
  <c r="G25" i="2"/>
  <c r="F25" i="2"/>
  <c r="E25" i="2"/>
  <c r="D25" i="2"/>
  <c r="C25" i="2"/>
  <c r="B25" i="2"/>
  <c r="AH24" i="2"/>
  <c r="AG24" i="2"/>
  <c r="AF24" i="2"/>
  <c r="AE24" i="2"/>
  <c r="AD24" i="2"/>
  <c r="AC24" i="2"/>
  <c r="AB24" i="2"/>
  <c r="AA24" i="2"/>
  <c r="Z24" i="2"/>
  <c r="Y24" i="2"/>
  <c r="X24" i="2"/>
  <c r="W24" i="2"/>
  <c r="V24" i="2"/>
  <c r="U24" i="2"/>
  <c r="T24" i="2"/>
  <c r="S24" i="2"/>
  <c r="R24" i="2"/>
  <c r="Q24" i="2"/>
  <c r="P24" i="2"/>
  <c r="O24" i="2"/>
  <c r="N24" i="2"/>
  <c r="M24" i="2"/>
  <c r="L24" i="2"/>
  <c r="K24" i="2"/>
  <c r="J24" i="2"/>
  <c r="I24" i="2"/>
  <c r="H24" i="2"/>
  <c r="G24" i="2"/>
  <c r="F24" i="2"/>
  <c r="E24" i="2"/>
  <c r="D24" i="2"/>
  <c r="C24" i="2"/>
  <c r="B24" i="2"/>
  <c r="AH23" i="2"/>
  <c r="AG23" i="2"/>
  <c r="AF23" i="2"/>
  <c r="AE23" i="2"/>
  <c r="AD23" i="2"/>
  <c r="AC23" i="2"/>
  <c r="AB23" i="2"/>
  <c r="AA23" i="2"/>
  <c r="Z23" i="2"/>
  <c r="Y23" i="2"/>
  <c r="X23" i="2"/>
  <c r="W23" i="2"/>
  <c r="V23" i="2"/>
  <c r="U23" i="2"/>
  <c r="T23" i="2"/>
  <c r="S23" i="2"/>
  <c r="R23" i="2"/>
  <c r="Q23" i="2"/>
  <c r="P23" i="2"/>
  <c r="O23" i="2"/>
  <c r="N23" i="2"/>
  <c r="M23" i="2"/>
  <c r="L23" i="2"/>
  <c r="K23" i="2"/>
  <c r="J23" i="2"/>
  <c r="I23" i="2"/>
  <c r="H23" i="2"/>
  <c r="G23" i="2"/>
  <c r="F23" i="2"/>
  <c r="E23" i="2"/>
  <c r="D23" i="2"/>
  <c r="C23" i="2"/>
  <c r="B23" i="2"/>
  <c r="AH22" i="2"/>
  <c r="AG22" i="2"/>
  <c r="AF22" i="2"/>
  <c r="AE22" i="2"/>
  <c r="AD22" i="2"/>
  <c r="AC22" i="2"/>
  <c r="AB22" i="2"/>
  <c r="AA22" i="2"/>
  <c r="Z22" i="2"/>
  <c r="Y22" i="2"/>
  <c r="X22" i="2"/>
  <c r="W22" i="2"/>
  <c r="V22" i="2"/>
  <c r="U22" i="2"/>
  <c r="T22" i="2"/>
  <c r="S22" i="2"/>
  <c r="R22" i="2"/>
  <c r="Q22" i="2"/>
  <c r="P22" i="2"/>
  <c r="O22" i="2"/>
  <c r="N22" i="2"/>
  <c r="M22" i="2"/>
  <c r="L22" i="2"/>
  <c r="K22" i="2"/>
  <c r="J22" i="2"/>
  <c r="I22" i="2"/>
  <c r="H22" i="2"/>
  <c r="G22" i="2"/>
  <c r="F22" i="2"/>
  <c r="E22" i="2"/>
  <c r="D22" i="2"/>
  <c r="C22" i="2"/>
  <c r="B22" i="2"/>
  <c r="AH21" i="2"/>
  <c r="AG21" i="2"/>
  <c r="AF21" i="2"/>
  <c r="AE21" i="2"/>
  <c r="AD21" i="2"/>
  <c r="AC21" i="2"/>
  <c r="AB21" i="2"/>
  <c r="AA21" i="2"/>
  <c r="Z21" i="2"/>
  <c r="Y21" i="2"/>
  <c r="X21" i="2"/>
  <c r="W21" i="2"/>
  <c r="V21" i="2"/>
  <c r="U21" i="2"/>
  <c r="T21" i="2"/>
  <c r="S21" i="2"/>
  <c r="R21" i="2"/>
  <c r="Q21" i="2"/>
  <c r="P21" i="2"/>
  <c r="O21" i="2"/>
  <c r="N21" i="2"/>
  <c r="M21" i="2"/>
  <c r="L21" i="2"/>
  <c r="K21" i="2"/>
  <c r="J21" i="2"/>
  <c r="I21" i="2"/>
  <c r="H21" i="2"/>
  <c r="G21" i="2"/>
  <c r="F21" i="2"/>
  <c r="E21" i="2"/>
  <c r="D21" i="2"/>
  <c r="C21" i="2"/>
  <c r="B21" i="2"/>
  <c r="AH20" i="2"/>
  <c r="AG20" i="2"/>
  <c r="AF20" i="2"/>
  <c r="AE20" i="2"/>
  <c r="AD20" i="2"/>
  <c r="AC20" i="2"/>
  <c r="AB20" i="2"/>
  <c r="AA20" i="2"/>
  <c r="Z20" i="2"/>
  <c r="Y20" i="2"/>
  <c r="X20" i="2"/>
  <c r="W20" i="2"/>
  <c r="V20" i="2"/>
  <c r="U20" i="2"/>
  <c r="T20" i="2"/>
  <c r="S20" i="2"/>
  <c r="R20" i="2"/>
  <c r="Q20" i="2"/>
  <c r="P20" i="2"/>
  <c r="O20" i="2"/>
  <c r="N20" i="2"/>
  <c r="M20" i="2"/>
  <c r="L20" i="2"/>
  <c r="K20" i="2"/>
  <c r="J20" i="2"/>
  <c r="I20" i="2"/>
  <c r="H20" i="2"/>
  <c r="G20" i="2"/>
  <c r="F20" i="2"/>
  <c r="E20" i="2"/>
  <c r="D20" i="2"/>
  <c r="C20" i="2"/>
  <c r="B20" i="2"/>
  <c r="AH19" i="2"/>
  <c r="AG19" i="2"/>
  <c r="AF19" i="2"/>
  <c r="AE19" i="2"/>
  <c r="AD19" i="2"/>
  <c r="AC19" i="2"/>
  <c r="AB19" i="2"/>
  <c r="AA19" i="2"/>
  <c r="Z19" i="2"/>
  <c r="Y19" i="2"/>
  <c r="X19" i="2"/>
  <c r="W19" i="2"/>
  <c r="V19" i="2"/>
  <c r="U19" i="2"/>
  <c r="T19" i="2"/>
  <c r="S19" i="2"/>
  <c r="R19" i="2"/>
  <c r="Q19" i="2"/>
  <c r="P19" i="2"/>
  <c r="O19" i="2"/>
  <c r="N19" i="2"/>
  <c r="M19" i="2"/>
  <c r="L19" i="2"/>
  <c r="K19" i="2"/>
  <c r="J19" i="2"/>
  <c r="I19" i="2"/>
  <c r="H19" i="2"/>
  <c r="G19" i="2"/>
  <c r="F19" i="2"/>
  <c r="E19" i="2"/>
  <c r="D19" i="2"/>
  <c r="C19" i="2"/>
  <c r="B19" i="2"/>
  <c r="AH18" i="2"/>
  <c r="AG18" i="2"/>
  <c r="AF18" i="2"/>
  <c r="AE18" i="2"/>
  <c r="AD18" i="2"/>
  <c r="AC18" i="2"/>
  <c r="AB18" i="2"/>
  <c r="AA18" i="2"/>
  <c r="Z18" i="2"/>
  <c r="Y18" i="2"/>
  <c r="X18" i="2"/>
  <c r="W18" i="2"/>
  <c r="V18" i="2"/>
  <c r="U18" i="2"/>
  <c r="T18" i="2"/>
  <c r="S18" i="2"/>
  <c r="R18" i="2"/>
  <c r="Q18" i="2"/>
  <c r="P18" i="2"/>
  <c r="O18" i="2"/>
  <c r="N18" i="2"/>
  <c r="M18" i="2"/>
  <c r="L18" i="2"/>
  <c r="K18" i="2"/>
  <c r="J18" i="2"/>
  <c r="I18" i="2"/>
  <c r="H18" i="2"/>
  <c r="G18" i="2"/>
  <c r="F18" i="2"/>
  <c r="E18" i="2"/>
  <c r="D18" i="2"/>
  <c r="C18" i="2"/>
  <c r="B18" i="2"/>
  <c r="AH17" i="2"/>
  <c r="AG17" i="2"/>
  <c r="AF17" i="2"/>
  <c r="AE17" i="2"/>
  <c r="AD17" i="2"/>
  <c r="AC17" i="2"/>
  <c r="AB17" i="2"/>
  <c r="AA17" i="2"/>
  <c r="Z17" i="2"/>
  <c r="Y17" i="2"/>
  <c r="X17" i="2"/>
  <c r="W17" i="2"/>
  <c r="V17" i="2"/>
  <c r="U17" i="2"/>
  <c r="T17" i="2"/>
  <c r="S17" i="2"/>
  <c r="R17" i="2"/>
  <c r="Q17" i="2"/>
  <c r="P17" i="2"/>
  <c r="O17" i="2"/>
  <c r="N17" i="2"/>
  <c r="M17" i="2"/>
  <c r="L17" i="2"/>
  <c r="K17" i="2"/>
  <c r="J17" i="2"/>
  <c r="I17" i="2"/>
  <c r="H17" i="2"/>
  <c r="G17" i="2"/>
  <c r="F17" i="2"/>
  <c r="E17" i="2"/>
  <c r="D17" i="2"/>
  <c r="C17" i="2"/>
  <c r="B17" i="2"/>
  <c r="AH16" i="2"/>
  <c r="AG16" i="2"/>
  <c r="AF16" i="2"/>
  <c r="AE16" i="2"/>
  <c r="AD16" i="2"/>
  <c r="AC16" i="2"/>
  <c r="AB16" i="2"/>
  <c r="AA16" i="2"/>
  <c r="Z16" i="2"/>
  <c r="Y16" i="2"/>
  <c r="X16" i="2"/>
  <c r="W16" i="2"/>
  <c r="V16" i="2"/>
  <c r="U16" i="2"/>
  <c r="T16" i="2"/>
  <c r="S16" i="2"/>
  <c r="R16" i="2"/>
  <c r="Q16" i="2"/>
  <c r="P16" i="2"/>
  <c r="O16" i="2"/>
  <c r="N16" i="2"/>
  <c r="M16" i="2"/>
  <c r="L16" i="2"/>
  <c r="K16" i="2"/>
  <c r="J16" i="2"/>
  <c r="I16" i="2"/>
  <c r="H16" i="2"/>
  <c r="G16" i="2"/>
  <c r="F16" i="2"/>
  <c r="E16" i="2"/>
  <c r="D16" i="2"/>
  <c r="C16" i="2"/>
  <c r="B16" i="2"/>
  <c r="AH15" i="2"/>
  <c r="AG15" i="2"/>
  <c r="AF15" i="2"/>
  <c r="AE15" i="2"/>
  <c r="AD15" i="2"/>
  <c r="AC15" i="2"/>
  <c r="AB15" i="2"/>
  <c r="AA15" i="2"/>
  <c r="Z15" i="2"/>
  <c r="Y15" i="2"/>
  <c r="X15" i="2"/>
  <c r="W15" i="2"/>
  <c r="V15" i="2"/>
  <c r="U15" i="2"/>
  <c r="T15" i="2"/>
  <c r="S15" i="2"/>
  <c r="R15" i="2"/>
  <c r="Q15" i="2"/>
  <c r="P15" i="2"/>
  <c r="O15" i="2"/>
  <c r="N15" i="2"/>
  <c r="M15" i="2"/>
  <c r="L15" i="2"/>
  <c r="K15" i="2"/>
  <c r="J15" i="2"/>
  <c r="I15" i="2"/>
  <c r="H15" i="2"/>
  <c r="G15" i="2"/>
  <c r="F15" i="2"/>
  <c r="E15" i="2"/>
  <c r="D15" i="2"/>
  <c r="C15" i="2"/>
  <c r="B15" i="2"/>
  <c r="AH14" i="2"/>
  <c r="AG14" i="2"/>
  <c r="AF14" i="2"/>
  <c r="AE14" i="2"/>
  <c r="AD14" i="2"/>
  <c r="AC14" i="2"/>
  <c r="AB14" i="2"/>
  <c r="AA14" i="2"/>
  <c r="Z14" i="2"/>
  <c r="Y14" i="2"/>
  <c r="X14" i="2"/>
  <c r="W14" i="2"/>
  <c r="V14" i="2"/>
  <c r="U14" i="2"/>
  <c r="T14" i="2"/>
  <c r="S14" i="2"/>
  <c r="R14" i="2"/>
  <c r="Q14" i="2"/>
  <c r="P14" i="2"/>
  <c r="O14" i="2"/>
  <c r="N14" i="2"/>
  <c r="M14" i="2"/>
  <c r="L14" i="2"/>
  <c r="K14" i="2"/>
  <c r="J14" i="2"/>
  <c r="I14" i="2"/>
  <c r="H14" i="2"/>
  <c r="G14" i="2"/>
  <c r="F14" i="2"/>
  <c r="E14" i="2"/>
  <c r="D14" i="2"/>
  <c r="C14" i="2"/>
  <c r="B14" i="2"/>
  <c r="AH13" i="2"/>
  <c r="AG13" i="2"/>
  <c r="AF13" i="2"/>
  <c r="AE13" i="2"/>
  <c r="AD13" i="2"/>
  <c r="AC13" i="2"/>
  <c r="AB13" i="2"/>
  <c r="AA13" i="2"/>
  <c r="Z13" i="2"/>
  <c r="Y13" i="2"/>
  <c r="X13" i="2"/>
  <c r="W13" i="2"/>
  <c r="V13" i="2"/>
  <c r="U13" i="2"/>
  <c r="T13" i="2"/>
  <c r="S13" i="2"/>
  <c r="R13" i="2"/>
  <c r="Q13" i="2"/>
  <c r="P13" i="2"/>
  <c r="O13" i="2"/>
  <c r="N13" i="2"/>
  <c r="M13" i="2"/>
  <c r="L13" i="2"/>
  <c r="K13" i="2"/>
  <c r="J13" i="2"/>
  <c r="I13" i="2"/>
  <c r="H13" i="2"/>
  <c r="G13" i="2"/>
  <c r="F13" i="2"/>
  <c r="E13" i="2"/>
  <c r="D13" i="2"/>
  <c r="C13" i="2"/>
  <c r="B13" i="2"/>
  <c r="AH12" i="2"/>
  <c r="AG12" i="2"/>
  <c r="AF12" i="2"/>
  <c r="AE12" i="2"/>
  <c r="AD12" i="2"/>
  <c r="AC12" i="2"/>
  <c r="AB12" i="2"/>
  <c r="AA12" i="2"/>
  <c r="Z12" i="2"/>
  <c r="Y12" i="2"/>
  <c r="X12" i="2"/>
  <c r="W12" i="2"/>
  <c r="V12" i="2"/>
  <c r="U12" i="2"/>
  <c r="T12" i="2"/>
  <c r="S12" i="2"/>
  <c r="R12" i="2"/>
  <c r="Q12" i="2"/>
  <c r="P12" i="2"/>
  <c r="O12" i="2"/>
  <c r="N12" i="2"/>
  <c r="M12" i="2"/>
  <c r="L12" i="2"/>
  <c r="K12" i="2"/>
  <c r="J12" i="2"/>
  <c r="I12" i="2"/>
  <c r="H12" i="2"/>
  <c r="G12" i="2"/>
  <c r="F12" i="2"/>
  <c r="E12" i="2"/>
  <c r="D12" i="2"/>
  <c r="C12" i="2"/>
  <c r="B12" i="2"/>
  <c r="AH11" i="2"/>
  <c r="AG11" i="2"/>
  <c r="AF11" i="2"/>
  <c r="AE11" i="2"/>
  <c r="AD11" i="2"/>
  <c r="AC11" i="2"/>
  <c r="AB11" i="2"/>
  <c r="AA11" i="2"/>
  <c r="Z11" i="2"/>
  <c r="Y11" i="2"/>
  <c r="X11" i="2"/>
  <c r="W11" i="2"/>
  <c r="V11" i="2"/>
  <c r="U11" i="2"/>
  <c r="T11" i="2"/>
  <c r="S11" i="2"/>
  <c r="R11" i="2"/>
  <c r="Q11" i="2"/>
  <c r="P11" i="2"/>
  <c r="O11" i="2"/>
  <c r="N11" i="2"/>
  <c r="M11" i="2"/>
  <c r="L11" i="2"/>
  <c r="K11" i="2"/>
  <c r="J11" i="2"/>
  <c r="I11" i="2"/>
  <c r="H11" i="2"/>
  <c r="G11" i="2"/>
  <c r="F11" i="2"/>
  <c r="E11" i="2"/>
  <c r="D11" i="2"/>
  <c r="C11" i="2"/>
  <c r="B11" i="2"/>
  <c r="AH10" i="2"/>
  <c r="AG10" i="2"/>
  <c r="AF10" i="2"/>
  <c r="AE10" i="2"/>
  <c r="AD10" i="2"/>
  <c r="AC10" i="2"/>
  <c r="AB10" i="2"/>
  <c r="AA10" i="2"/>
  <c r="Z10" i="2"/>
  <c r="Y10" i="2"/>
  <c r="X10" i="2"/>
  <c r="W10" i="2"/>
  <c r="V10" i="2"/>
  <c r="U10" i="2"/>
  <c r="T10" i="2"/>
  <c r="S10" i="2"/>
  <c r="R10" i="2"/>
  <c r="Q10" i="2"/>
  <c r="P10" i="2"/>
  <c r="O10" i="2"/>
  <c r="N10" i="2"/>
  <c r="M10" i="2"/>
  <c r="L10" i="2"/>
  <c r="K10" i="2"/>
  <c r="J10" i="2"/>
  <c r="I10" i="2"/>
  <c r="H10" i="2"/>
  <c r="G10" i="2"/>
  <c r="F10" i="2"/>
  <c r="E10" i="2"/>
  <c r="D10" i="2"/>
  <c r="C10" i="2"/>
  <c r="B10" i="2"/>
  <c r="AH9" i="2"/>
  <c r="AG9" i="2"/>
  <c r="AF9" i="2"/>
  <c r="AE9" i="2"/>
  <c r="AD9" i="2"/>
  <c r="AC9" i="2"/>
  <c r="AB9" i="2"/>
  <c r="AA9" i="2"/>
  <c r="Z9" i="2"/>
  <c r="Y9" i="2"/>
  <c r="X9" i="2"/>
  <c r="W9" i="2"/>
  <c r="V9" i="2"/>
  <c r="U9" i="2"/>
  <c r="T9" i="2"/>
  <c r="S9" i="2"/>
  <c r="R9" i="2"/>
  <c r="Q9" i="2"/>
  <c r="P9" i="2"/>
  <c r="O9" i="2"/>
  <c r="N9" i="2"/>
  <c r="M9" i="2"/>
  <c r="L9" i="2"/>
  <c r="K9" i="2"/>
  <c r="J9" i="2"/>
  <c r="I9" i="2"/>
  <c r="H9" i="2"/>
  <c r="G9" i="2"/>
  <c r="F9" i="2"/>
  <c r="E9" i="2"/>
  <c r="D9" i="2"/>
  <c r="C9" i="2"/>
  <c r="B9" i="2"/>
  <c r="AH8" i="2"/>
  <c r="AG8" i="2"/>
  <c r="AF8" i="2"/>
  <c r="AE8" i="2"/>
  <c r="AD8" i="2"/>
  <c r="AC8" i="2"/>
  <c r="AB8" i="2"/>
  <c r="AA8" i="2"/>
  <c r="Z8" i="2"/>
  <c r="Y8" i="2"/>
  <c r="X8" i="2"/>
  <c r="W8" i="2"/>
  <c r="V8" i="2"/>
  <c r="U8" i="2"/>
  <c r="T8" i="2"/>
  <c r="S8" i="2"/>
  <c r="R8" i="2"/>
  <c r="Q8" i="2"/>
  <c r="P8" i="2"/>
  <c r="O8" i="2"/>
  <c r="N8" i="2"/>
  <c r="M8" i="2"/>
  <c r="L8" i="2"/>
  <c r="K8" i="2"/>
  <c r="J8" i="2"/>
  <c r="I8" i="2"/>
  <c r="H8" i="2"/>
  <c r="G8" i="2"/>
  <c r="F8" i="2"/>
  <c r="E8" i="2"/>
  <c r="D8" i="2"/>
  <c r="C8" i="2"/>
  <c r="B8" i="2"/>
  <c r="O13" i="1"/>
  <c r="O12" i="1"/>
  <c r="P12" i="1" s="1"/>
  <c r="Q12" i="1" s="1"/>
  <c r="Q13" i="1" s="1"/>
  <c r="Q14" i="1" s="1"/>
  <c r="P14" i="1" s="1"/>
  <c r="O14" i="1" s="1"/>
  <c r="N14" i="1" s="1"/>
  <c r="N13" i="1" s="1"/>
  <c r="N12" i="1" s="1"/>
  <c r="N11" i="1" s="1"/>
  <c r="O11" i="1" s="1"/>
  <c r="P11" i="1" s="1"/>
  <c r="Q11" i="1" s="1"/>
  <c r="R11" i="1" s="1"/>
  <c r="R12" i="1" s="1"/>
  <c r="R13" i="1" s="1"/>
  <c r="R14" i="1" s="1"/>
  <c r="R15" i="1" s="1"/>
  <c r="Q15" i="1" s="1"/>
  <c r="P15" i="1" s="1"/>
  <c r="O15" i="1" s="1"/>
  <c r="N15" i="1" s="1"/>
  <c r="M15" i="1" s="1"/>
  <c r="M14" i="1" s="1"/>
  <c r="M13" i="1" s="1"/>
  <c r="M12" i="1" s="1"/>
  <c r="M11" i="1" s="1"/>
  <c r="M10" i="1" s="1"/>
  <c r="N10" i="1" s="1"/>
  <c r="O10" i="1" s="1"/>
  <c r="P10" i="1" s="1"/>
  <c r="Q10" i="1" s="1"/>
  <c r="R10" i="1" s="1"/>
  <c r="S10" i="1" s="1"/>
  <c r="S11" i="1" s="1"/>
  <c r="S12" i="1" s="1"/>
  <c r="S13" i="1" s="1"/>
  <c r="S14" i="1" s="1"/>
  <c r="S15" i="1" s="1"/>
  <c r="S16" i="1" s="1"/>
  <c r="R16" i="1" s="1"/>
  <c r="Q16" i="1" s="1"/>
  <c r="P16" i="1" s="1"/>
  <c r="O16" i="1" s="1"/>
  <c r="N16" i="1" s="1"/>
  <c r="M16" i="1" s="1"/>
  <c r="L16" i="1" s="1"/>
  <c r="L15" i="1" s="1"/>
  <c r="L14" i="1" s="1"/>
  <c r="L13" i="1" s="1"/>
  <c r="L12" i="1" s="1"/>
  <c r="L11" i="1" s="1"/>
  <c r="L10" i="1" s="1"/>
  <c r="L9" i="1" s="1"/>
  <c r="M9" i="1" s="1"/>
  <c r="N9" i="1" s="1"/>
  <c r="O9" i="1" s="1"/>
  <c r="P9" i="1" s="1"/>
  <c r="Q9" i="1" s="1"/>
  <c r="R9" i="1" s="1"/>
  <c r="S9" i="1" s="1"/>
  <c r="T9" i="1" s="1"/>
  <c r="T10" i="1" s="1"/>
  <c r="T11" i="1" s="1"/>
  <c r="T12" i="1" s="1"/>
  <c r="T13" i="1" s="1"/>
  <c r="T14" i="1" s="1"/>
  <c r="T15" i="1" s="1"/>
  <c r="T16" i="1" s="1"/>
  <c r="T17" i="1" s="1"/>
  <c r="S17" i="1" s="1"/>
  <c r="R17" i="1" s="1"/>
  <c r="Q17" i="1" s="1"/>
  <c r="P17" i="1" s="1"/>
  <c r="O17" i="1" s="1"/>
  <c r="N17" i="1" s="1"/>
  <c r="M17" i="1" s="1"/>
  <c r="L17" i="1" s="1"/>
  <c r="K17" i="1" s="1"/>
  <c r="K16" i="1" s="1"/>
  <c r="K15" i="1" s="1"/>
  <c r="K14" i="1" s="1"/>
  <c r="K13" i="1" s="1"/>
  <c r="K12" i="1" s="1"/>
  <c r="K11" i="1" s="1"/>
  <c r="K10" i="1" s="1"/>
  <c r="K9" i="1" s="1"/>
  <c r="K8" i="1" s="1"/>
  <c r="L8" i="1" s="1"/>
  <c r="M8" i="1" s="1"/>
  <c r="N8" i="1" s="1"/>
  <c r="O8" i="1" s="1"/>
  <c r="P8" i="1" s="1"/>
  <c r="Q8" i="1" s="1"/>
  <c r="R8" i="1" s="1"/>
  <c r="S8" i="1" s="1"/>
  <c r="T8" i="1" s="1"/>
  <c r="U8" i="1" s="1"/>
  <c r="U9" i="1" s="1"/>
  <c r="U10" i="1" s="1"/>
  <c r="U11" i="1" s="1"/>
  <c r="U12" i="1" s="1"/>
  <c r="U13" i="1" s="1"/>
  <c r="U14" i="1" s="1"/>
  <c r="U15" i="1" s="1"/>
  <c r="U16" i="1" s="1"/>
  <c r="U17" i="1" s="1"/>
  <c r="U18" i="1" s="1"/>
  <c r="T18" i="1" s="1"/>
  <c r="S18" i="1" s="1"/>
  <c r="R18" i="1" s="1"/>
  <c r="Q18" i="1" s="1"/>
  <c r="P18" i="1" s="1"/>
  <c r="O18" i="1" s="1"/>
  <c r="N18" i="1" s="1"/>
  <c r="M18" i="1" s="1"/>
  <c r="L18" i="1" s="1"/>
  <c r="K18" i="1" s="1"/>
  <c r="J18" i="1" s="1"/>
  <c r="J17" i="1" s="1"/>
  <c r="J16" i="1" s="1"/>
  <c r="J15" i="1" s="1"/>
  <c r="J14" i="1" s="1"/>
  <c r="J13" i="1" s="1"/>
  <c r="J12" i="1" s="1"/>
  <c r="J11" i="1" s="1"/>
  <c r="J10" i="1" s="1"/>
  <c r="J9" i="1" s="1"/>
  <c r="J8" i="1" s="1"/>
  <c r="J7" i="1" s="1"/>
  <c r="K7" i="1" s="1"/>
  <c r="L7" i="1" s="1"/>
  <c r="M7" i="1" s="1"/>
  <c r="N7" i="1" s="1"/>
  <c r="O7" i="1" s="1"/>
  <c r="P7" i="1" s="1"/>
  <c r="Q7" i="1" s="1"/>
  <c r="R7" i="1" s="1"/>
  <c r="S7" i="1" s="1"/>
  <c r="T7" i="1" s="1"/>
  <c r="U7" i="1" s="1"/>
  <c r="V7" i="1" s="1"/>
  <c r="V8" i="1" s="1"/>
  <c r="V9" i="1" s="1"/>
  <c r="V10" i="1" s="1"/>
  <c r="V11" i="1" s="1"/>
  <c r="V12" i="1" s="1"/>
  <c r="V13" i="1" s="1"/>
  <c r="V14" i="1" s="1"/>
  <c r="V15" i="1" s="1"/>
  <c r="V16" i="1" s="1"/>
  <c r="V17" i="1" s="1"/>
  <c r="V18" i="1" s="1"/>
  <c r="V19" i="1" s="1"/>
  <c r="U19" i="1" s="1"/>
  <c r="T19" i="1" s="1"/>
  <c r="S19" i="1" s="1"/>
  <c r="R19" i="1" s="1"/>
  <c r="Q19" i="1" s="1"/>
  <c r="P19" i="1" s="1"/>
  <c r="O19" i="1" s="1"/>
  <c r="N19" i="1" s="1"/>
  <c r="M19" i="1" s="1"/>
  <c r="L19" i="1" s="1"/>
  <c r="K19" i="1" s="1"/>
  <c r="J19" i="1" s="1"/>
  <c r="I19" i="1" s="1"/>
  <c r="I18" i="1" s="1"/>
  <c r="I17" i="1" s="1"/>
  <c r="I16" i="1" s="1"/>
  <c r="I15" i="1" s="1"/>
  <c r="I14" i="1" s="1"/>
  <c r="I13" i="1" s="1"/>
  <c r="I12" i="1" s="1"/>
  <c r="I11" i="1" s="1"/>
  <c r="I10" i="1" s="1"/>
  <c r="I9" i="1" s="1"/>
  <c r="I8" i="1" s="1"/>
  <c r="I7" i="1" s="1"/>
  <c r="I6" i="1" s="1"/>
  <c r="J6" i="1" s="1"/>
  <c r="K6" i="1" s="1"/>
  <c r="L6" i="1" s="1"/>
  <c r="M6" i="1" s="1"/>
  <c r="N6" i="1" s="1"/>
  <c r="O6" i="1" s="1"/>
  <c r="P6" i="1" s="1"/>
  <c r="Q6" i="1" s="1"/>
  <c r="R6" i="1" s="1"/>
  <c r="S6" i="1" s="1"/>
  <c r="T6" i="1" s="1"/>
  <c r="U6" i="1" s="1"/>
  <c r="V6" i="1" s="1"/>
  <c r="W6" i="1" s="1"/>
  <c r="W7" i="1" s="1"/>
  <c r="W8" i="1" s="1"/>
  <c r="W9" i="1" s="1"/>
  <c r="W10" i="1" s="1"/>
  <c r="W11" i="1" s="1"/>
  <c r="W12" i="1" s="1"/>
  <c r="W13" i="1" s="1"/>
  <c r="W14" i="1" s="1"/>
  <c r="W15" i="1" s="1"/>
  <c r="W16" i="1" s="1"/>
  <c r="W17" i="1" s="1"/>
  <c r="W18" i="1" s="1"/>
  <c r="W19" i="1" s="1"/>
  <c r="W20" i="1" s="1"/>
  <c r="V20" i="1" s="1"/>
  <c r="U20" i="1" s="1"/>
  <c r="T20" i="1" s="1"/>
  <c r="S20" i="1" s="1"/>
  <c r="R20" i="1" s="1"/>
  <c r="Q20" i="1" s="1"/>
  <c r="P20" i="1" s="1"/>
  <c r="O20" i="1" s="1"/>
  <c r="N20" i="1" s="1"/>
  <c r="M20" i="1" s="1"/>
  <c r="L20" i="1" s="1"/>
  <c r="K20" i="1" s="1"/>
  <c r="J20" i="1" s="1"/>
  <c r="I20" i="1" s="1"/>
  <c r="H20" i="1" s="1"/>
  <c r="H19" i="1" s="1"/>
  <c r="H18" i="1" s="1"/>
  <c r="H17" i="1" s="1"/>
  <c r="H16" i="1" s="1"/>
  <c r="H15" i="1" s="1"/>
  <c r="H14" i="1" s="1"/>
  <c r="H13" i="1" s="1"/>
  <c r="H12" i="1" s="1"/>
  <c r="H11" i="1" s="1"/>
  <c r="H10" i="1" s="1"/>
  <c r="H9" i="1" s="1"/>
  <c r="H8" i="1" s="1"/>
  <c r="H7" i="1" s="1"/>
  <c r="H6" i="1" s="1"/>
  <c r="H5" i="1" s="1"/>
  <c r="I5" i="1" s="1"/>
  <c r="J5" i="1" s="1"/>
  <c r="K5" i="1" s="1"/>
  <c r="L5" i="1" s="1"/>
  <c r="M5" i="1" s="1"/>
  <c r="N5" i="1" s="1"/>
  <c r="O5" i="1" s="1"/>
  <c r="P5" i="1" s="1"/>
  <c r="Q5" i="1" s="1"/>
  <c r="R5" i="1" s="1"/>
  <c r="S5" i="1" s="1"/>
  <c r="T5" i="1" s="1"/>
  <c r="U5" i="1" s="1"/>
  <c r="V5" i="1" s="1"/>
  <c r="W5" i="1" s="1"/>
  <c r="X5" i="1" s="1"/>
  <c r="X6" i="1" s="1"/>
  <c r="X7" i="1" s="1"/>
  <c r="X8" i="1" s="1"/>
  <c r="X9" i="1" s="1"/>
  <c r="X10" i="1" s="1"/>
  <c r="X11" i="1" s="1"/>
  <c r="X12" i="1" s="1"/>
  <c r="X13" i="1" s="1"/>
  <c r="X14" i="1" s="1"/>
  <c r="X15" i="1" s="1"/>
  <c r="X16" i="1" s="1"/>
  <c r="X17" i="1" s="1"/>
  <c r="X18" i="1" s="1"/>
  <c r="X19" i="1" s="1"/>
  <c r="X20" i="1" s="1"/>
  <c r="X21" i="1" s="1"/>
  <c r="W21" i="1" s="1"/>
  <c r="V21" i="1" s="1"/>
  <c r="U21" i="1" s="1"/>
  <c r="T21" i="1" s="1"/>
  <c r="S21" i="1" s="1"/>
  <c r="R21" i="1" s="1"/>
  <c r="Q21" i="1" s="1"/>
  <c r="P21" i="1" s="1"/>
  <c r="O21" i="1" s="1"/>
  <c r="N21" i="1" s="1"/>
  <c r="M21" i="1" s="1"/>
  <c r="L21" i="1" s="1"/>
  <c r="K21" i="1" s="1"/>
  <c r="J21" i="1" s="1"/>
  <c r="I21" i="1" s="1"/>
  <c r="H21" i="1" s="1"/>
  <c r="G21" i="1" s="1"/>
  <c r="G20" i="1" s="1"/>
  <c r="G19" i="1" s="1"/>
  <c r="G18" i="1" s="1"/>
  <c r="G17" i="1" s="1"/>
  <c r="G16" i="1" s="1"/>
  <c r="G15" i="1" s="1"/>
  <c r="G14" i="1" s="1"/>
  <c r="G13" i="1" s="1"/>
  <c r="G12" i="1" s="1"/>
  <c r="G11" i="1" s="1"/>
  <c r="G10" i="1" s="1"/>
  <c r="G9" i="1" s="1"/>
  <c r="G8" i="1" s="1"/>
  <c r="G7" i="1" s="1"/>
  <c r="G6" i="1" s="1"/>
  <c r="G5" i="1" s="1"/>
  <c r="G4" i="1" s="1"/>
  <c r="H4" i="1" s="1"/>
  <c r="I4" i="1" s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Y5" i="1" s="1"/>
  <c r="Y6" i="1" s="1"/>
  <c r="Y7" i="1" s="1"/>
  <c r="Y8" i="1" s="1"/>
  <c r="Y9" i="1" s="1"/>
  <c r="Y10" i="1" s="1"/>
  <c r="Y11" i="1" s="1"/>
  <c r="Y12" i="1" s="1"/>
  <c r="Y13" i="1" s="1"/>
  <c r="Y14" i="1" s="1"/>
  <c r="Y15" i="1" s="1"/>
  <c r="Y16" i="1" s="1"/>
  <c r="Y17" i="1" s="1"/>
  <c r="Y18" i="1" s="1"/>
  <c r="Y19" i="1" s="1"/>
  <c r="Y20" i="1" s="1"/>
  <c r="Y21" i="1" s="1"/>
  <c r="Y22" i="1" s="1"/>
  <c r="X22" i="1" s="1"/>
  <c r="W22" i="1" s="1"/>
  <c r="V22" i="1" s="1"/>
  <c r="U22" i="1" s="1"/>
  <c r="T22" i="1" s="1"/>
  <c r="S22" i="1" s="1"/>
  <c r="R22" i="1" s="1"/>
  <c r="Q22" i="1" s="1"/>
  <c r="P22" i="1" s="1"/>
  <c r="O22" i="1" s="1"/>
  <c r="N22" i="1" s="1"/>
  <c r="M22" i="1" s="1"/>
  <c r="L22" i="1" s="1"/>
  <c r="K22" i="1" s="1"/>
  <c r="J22" i="1" s="1"/>
  <c r="I22" i="1" s="1"/>
  <c r="H22" i="1" s="1"/>
  <c r="G22" i="1" s="1"/>
  <c r="F22" i="1" s="1"/>
  <c r="F21" i="1" s="1"/>
  <c r="F20" i="1" s="1"/>
  <c r="F19" i="1" s="1"/>
  <c r="F18" i="1" s="1"/>
  <c r="F17" i="1" s="1"/>
  <c r="F16" i="1" s="1"/>
  <c r="F15" i="1" s="1"/>
  <c r="F14" i="1" s="1"/>
  <c r="F13" i="1" s="1"/>
  <c r="F12" i="1" s="1"/>
  <c r="F11" i="1" s="1"/>
  <c r="F10" i="1" s="1"/>
  <c r="F9" i="1" s="1"/>
  <c r="F8" i="1" s="1"/>
  <c r="F7" i="1" s="1"/>
  <c r="F6" i="1" s="1"/>
  <c r="F5" i="1" s="1"/>
  <c r="F4" i="1" s="1"/>
  <c r="F3" i="1" s="1"/>
  <c r="G3" i="1" s="1"/>
  <c r="H3" i="1" s="1"/>
  <c r="I3" i="1" s="1"/>
  <c r="J3" i="1" s="1"/>
  <c r="K3" i="1" s="1"/>
  <c r="L3" i="1" s="1"/>
  <c r="M3" i="1" s="1"/>
  <c r="N3" i="1" s="1"/>
  <c r="O3" i="1" s="1"/>
  <c r="P3" i="1" s="1"/>
  <c r="Q3" i="1" s="1"/>
  <c r="R3" i="1" s="1"/>
  <c r="S3" i="1" s="1"/>
  <c r="T3" i="1" s="1"/>
  <c r="U3" i="1" s="1"/>
  <c r="V3" i="1" s="1"/>
  <c r="W3" i="1" s="1"/>
  <c r="X3" i="1" s="1"/>
  <c r="Y3" i="1" s="1"/>
  <c r="Z3" i="1" s="1"/>
  <c r="Z4" i="1" s="1"/>
  <c r="Z5" i="1" s="1"/>
  <c r="Z6" i="1" s="1"/>
  <c r="Z7" i="1" s="1"/>
  <c r="Z8" i="1" s="1"/>
  <c r="Z9" i="1" s="1"/>
  <c r="Z10" i="1" s="1"/>
  <c r="Z11" i="1" s="1"/>
  <c r="Z12" i="1" s="1"/>
  <c r="Z13" i="1" s="1"/>
  <c r="Z14" i="1" s="1"/>
  <c r="Z15" i="1" s="1"/>
  <c r="Z16" i="1" s="1"/>
  <c r="Z17" i="1" s="1"/>
  <c r="Z18" i="1" s="1"/>
  <c r="Z19" i="1" s="1"/>
  <c r="Z20" i="1" s="1"/>
  <c r="Z21" i="1" s="1"/>
  <c r="Z22" i="1" s="1"/>
  <c r="Z23" i="1" s="1"/>
  <c r="Y23" i="1" s="1"/>
  <c r="X23" i="1" s="1"/>
  <c r="W23" i="1" s="1"/>
  <c r="V23" i="1" s="1"/>
  <c r="U23" i="1" s="1"/>
  <c r="T23" i="1" s="1"/>
  <c r="S23" i="1" s="1"/>
  <c r="R23" i="1" s="1"/>
  <c r="Q23" i="1" s="1"/>
  <c r="P23" i="1" s="1"/>
  <c r="O23" i="1" s="1"/>
  <c r="N23" i="1" s="1"/>
  <c r="M23" i="1" s="1"/>
  <c r="L23" i="1" s="1"/>
  <c r="K23" i="1" s="1"/>
  <c r="J23" i="1" s="1"/>
  <c r="I23" i="1" s="1"/>
  <c r="H23" i="1" s="1"/>
  <c r="G23" i="1" s="1"/>
  <c r="F23" i="1" s="1"/>
</calcChain>
</file>

<file path=xl/sharedStrings.xml><?xml version="1.0" encoding="utf-8"?>
<sst xmlns="http://schemas.openxmlformats.org/spreadsheetml/2006/main" count="67" uniqueCount="58">
  <si>
    <t>Price</t>
  </si>
  <si>
    <t>Gann's Square of 9</t>
  </si>
  <si>
    <t>Cell Size Height(Row): 36</t>
  </si>
  <si>
    <t>CF</t>
  </si>
  <si>
    <t>Width(Column): 5.38</t>
  </si>
  <si>
    <t>Step</t>
  </si>
  <si>
    <t>NORTH</t>
  </si>
  <si>
    <t>05/05</t>
  </si>
  <si>
    <t>05/27</t>
  </si>
  <si>
    <t>06/21</t>
  </si>
  <si>
    <t>07/14</t>
  </si>
  <si>
    <t>08/05</t>
  </si>
  <si>
    <t>09:00 AM</t>
  </si>
  <si>
    <t>01:30 PM</t>
  </si>
  <si>
    <t>03:00 PM</t>
  </si>
  <si>
    <t>45.0 deg</t>
  </si>
  <si>
    <t>67.5 deg</t>
  </si>
  <si>
    <t>90.0 deg</t>
  </si>
  <si>
    <t>112.5 deg</t>
  </si>
  <si>
    <t>135.0 deg</t>
  </si>
  <si>
    <t>04/12 7:30 AM 22.5 deg</t>
  </si>
  <si>
    <t>08/31 04:30 PM 157.5 deg</t>
  </si>
  <si>
    <t>EAST</t>
  </si>
  <si>
    <t>WEST</t>
  </si>
  <si>
    <t>03/21 6:00 AM 0 deg  360 deg</t>
  </si>
  <si>
    <t>09/22 06:00 PM 180.0 deg</t>
  </si>
  <si>
    <t>02/28 4:30 AM 337.5 deg</t>
  </si>
  <si>
    <t>10/15 7:30 PM 202.5 deg</t>
  </si>
  <si>
    <t>02/04</t>
  </si>
  <si>
    <t>01/13</t>
  </si>
  <si>
    <t>12/21</t>
  </si>
  <si>
    <t>11/30</t>
  </si>
  <si>
    <t>11/08</t>
  </si>
  <si>
    <t>09:00 PM</t>
  </si>
  <si>
    <t>315.0 deg</t>
  </si>
  <si>
    <t>292.5 deg</t>
  </si>
  <si>
    <t>270.0 deg</t>
  </si>
  <si>
    <t>247.5 deg</t>
  </si>
  <si>
    <t>225.0 deg</t>
  </si>
  <si>
    <t>SOUTH</t>
  </si>
  <si>
    <t>Date</t>
  </si>
  <si>
    <t>YYYY/MM/DD for Input</t>
  </si>
  <si>
    <t>Cell Size Height(Row): 75.75</t>
  </si>
  <si>
    <t>Width(Column): 12.00</t>
  </si>
  <si>
    <t>05/05 09:00 AM 45 deg</t>
  </si>
  <si>
    <t>05/27 10:30 AM 67.5 deg</t>
  </si>
  <si>
    <r>
      <t>NORTH</t>
    </r>
    <r>
      <rPr>
        <sz val="14"/>
        <color theme="1"/>
        <rFont val="Century"/>
        <family val="1"/>
      </rPr>
      <t xml:space="preserve"> </t>
    </r>
    <r>
      <rPr>
        <sz val="14"/>
        <color theme="1"/>
        <rFont val="Century"/>
        <family val="1"/>
      </rPr>
      <t>06/2</t>
    </r>
    <r>
      <rPr>
        <sz val="14"/>
        <color theme="1"/>
        <rFont val="Century"/>
        <family val="1"/>
      </rPr>
      <t xml:space="preserve">1 </t>
    </r>
    <r>
      <rPr>
        <sz val="14"/>
        <color theme="1"/>
        <rFont val="Century"/>
        <family val="1"/>
      </rPr>
      <t>12:0</t>
    </r>
    <r>
      <rPr>
        <sz val="14"/>
        <color theme="1"/>
        <rFont val="Century"/>
        <family val="1"/>
      </rPr>
      <t xml:space="preserve">0 </t>
    </r>
    <r>
      <rPr>
        <sz val="14"/>
        <color theme="1"/>
        <rFont val="Century"/>
        <family val="1"/>
      </rPr>
      <t xml:space="preserve">PM </t>
    </r>
    <r>
      <rPr>
        <sz val="14"/>
        <color theme="1"/>
        <rFont val="Century"/>
        <family val="1"/>
      </rPr>
      <t xml:space="preserve">90 </t>
    </r>
    <r>
      <rPr>
        <sz val="14"/>
        <color theme="1"/>
        <rFont val="Century"/>
        <family val="1"/>
      </rPr>
      <t>deg</t>
    </r>
  </si>
  <si>
    <t>07/14  01:30 PM  112.5 deg</t>
  </si>
  <si>
    <t>08/05  03:00 PM  135.0 deg</t>
  </si>
  <si>
    <t>04/12  07:30 AM  22.5 deg</t>
  </si>
  <si>
    <t>03/21  6:00 AM   0 deg    360 deg</t>
  </si>
  <si>
    <t>02/28  04:30 AM  337.5 deg</t>
  </si>
  <si>
    <t>10/15  7:30 PM  202.5 deg</t>
  </si>
  <si>
    <t>02/04  03:00 PM  315 deg</t>
  </si>
  <si>
    <t>01/13  01:30 PM  292.5 deg</t>
  </si>
  <si>
    <r>
      <t xml:space="preserve">12/21  12:00 AM   270.0 deg </t>
    </r>
    <r>
      <rPr>
        <b/>
        <sz val="14"/>
        <color theme="1"/>
        <rFont val="Century"/>
        <family val="1"/>
      </rPr>
      <t>SO</t>
    </r>
    <r>
      <rPr>
        <b/>
        <sz val="14"/>
        <color theme="1"/>
        <rFont val="Century"/>
        <family val="1"/>
      </rPr>
      <t>UT</t>
    </r>
    <r>
      <rPr>
        <b/>
        <sz val="14"/>
        <color theme="1"/>
        <rFont val="Century"/>
        <family val="1"/>
      </rPr>
      <t>H</t>
    </r>
  </si>
  <si>
    <t>11/30  10:30 PM  247.5 deg</t>
  </si>
  <si>
    <t>11/08  09:00 PM  225.0 deg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</si>
</sst>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64" formatCode="dd/mm/yy"/>
    <numFmt numFmtId="165" formatCode="yymmdd"/>
    <numFmt numFmtId="166" formatCode="0&quot; &quot;;[Red]&quot;(&quot;0&quot;)&quot;"/>
    <numFmt numFmtId="167" formatCode="h&quot;:&quot;mm&quot; &quot;AM/PM"/>
    <numFmt numFmtId="168" formatCode="mm/dd"/>
    <numFmt numFmtId="169" formatCode="0;[Red]&quot;-&quot;0"/>
    <numFmt numFmtId="170" formatCode="yy/mm/dd"/>
    <numFmt numFmtId="171" formatCode="[$£-809]#,##0.00;[Red]&quot;-&quot;[$£-809]#,##0.00"/>
  </numFmts>
  <fonts count="13">
    <font>
      <sz val="11"/>
      <color theme="1"/>
      <name val="Arial"/>
      <family val="2"/>
    </font>
    <font>
      <b/>
      <i/>
      <sz val="16"/>
      <color theme="1"/>
      <name val="Arial"/>
      <family val="2"/>
    </font>
    <font>
      <b/>
      <i/>
      <u/>
      <sz val="11"/>
      <color theme="1"/>
      <name val="Arial"/>
      <family val="2"/>
    </font>
    <font>
      <sz val="7"/>
      <color theme="1"/>
      <name val="Arial1"/>
    </font>
    <font>
      <b/>
      <sz val="7"/>
      <color rgb="FFFFFFFF"/>
      <name val="Arial2"/>
    </font>
    <font>
      <b/>
      <sz val="11"/>
      <color theme="1"/>
      <name val="Century"/>
      <family val="1"/>
    </font>
    <font>
      <sz val="11"/>
      <color theme="1"/>
      <name val="Century"/>
      <family val="1"/>
    </font>
    <font>
      <b/>
      <sz val="11"/>
      <color theme="1"/>
      <name val="ＭＳ Ｐゴシック"/>
    </font>
    <font>
      <sz val="14"/>
      <color theme="1"/>
      <name val="Century"/>
      <family val="1"/>
    </font>
    <font>
      <b/>
      <sz val="14"/>
      <color theme="1"/>
      <name val="Century"/>
      <family val="1"/>
    </font>
    <font>
      <sz val="8"/>
      <color theme="1"/>
      <name val="Century"/>
      <family val="1"/>
    </font>
    <font>
      <b/>
      <sz val="8"/>
      <color theme="1"/>
      <name val="Century"/>
      <family val="1"/>
    </font>
    <font>
      <sz val="8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00FF00"/>
        <bgColor rgb="FF00FF00"/>
      </patternFill>
    </fill>
    <fill>
      <patternFill patternType="solid">
        <fgColor rgb="FF00CCFF"/>
        <bgColor rgb="FF00CCFF"/>
      </patternFill>
    </fill>
    <fill>
      <patternFill patternType="solid">
        <fgColor rgb="FFFF0000"/>
        <bgColor rgb="FFFF0000"/>
      </patternFill>
    </fill>
    <fill>
      <patternFill patternType="solid">
        <fgColor rgb="FFFFCC00"/>
        <bgColor rgb="FFFFCC00"/>
      </patternFill>
    </fill>
  </fills>
  <borders count="22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 diagonalDown="1">
      <left style="thin">
        <color rgb="FF000000"/>
      </left>
      <right/>
      <top style="thin">
        <color rgb="FF000000"/>
      </top>
      <bottom/>
      <diagonal style="thin">
        <color rgb="FF000000"/>
      </diagonal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 diagonalUp="1">
      <left/>
      <right style="thin">
        <color rgb="FF000000"/>
      </right>
      <top style="thin">
        <color rgb="FF000000"/>
      </top>
      <bottom/>
      <diagonal style="thin">
        <color rgb="FF000000"/>
      </diagonal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 style="thin">
        <color rgb="FF000000"/>
      </diagonal>
    </border>
    <border>
      <left style="thin">
        <color rgb="FF000000"/>
      </left>
      <right/>
      <top/>
      <bottom style="thin">
        <color rgb="FF000000"/>
      </bottom>
      <diagonal/>
    </border>
    <border diagonalUp="1">
      <left/>
      <right/>
      <top/>
      <bottom style="thin">
        <color rgb="FF000000"/>
      </bottom>
      <diagonal style="thin">
        <color rgb="FF000000"/>
      </diagonal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 diagonalDown="1">
      <left/>
      <right style="thin">
        <color rgb="FF000000"/>
      </right>
      <top/>
      <bottom style="thin">
        <color rgb="FF000000"/>
      </bottom>
      <diagonal style="thin">
        <color rgb="FF000000"/>
      </diagonal>
    </border>
    <border diagonalUp="1">
      <left/>
      <right/>
      <top style="thin">
        <color rgb="FF000000"/>
      </top>
      <bottom style="thin">
        <color rgb="FF000000"/>
      </bottom>
      <diagonal style="thin">
        <color rgb="FF000000"/>
      </diagonal>
    </border>
    <border diagonalUp="1">
      <left style="thin">
        <color rgb="FF000000"/>
      </left>
      <right/>
      <top style="thin">
        <color rgb="FF000000"/>
      </top>
      <bottom style="thin">
        <color rgb="FF000000"/>
      </bottom>
      <diagonal style="thin">
        <color rgb="FF000000"/>
      </diagonal>
    </border>
  </borders>
  <cellStyleXfs count="5">
    <xf numFmtId="0" fontId="0" fillId="0" borderId="0"/>
    <xf numFmtId="0" fontId="1" fillId="0" borderId="0">
      <alignment horizontal="center"/>
    </xf>
    <xf numFmtId="0" fontId="1" fillId="0" borderId="0">
      <alignment horizontal="center" textRotation="90"/>
    </xf>
    <xf numFmtId="0" fontId="2" fillId="0" borderId="0"/>
    <xf numFmtId="171" fontId="2" fillId="0" borderId="0"/>
  </cellStyleXfs>
  <cellXfs count="127">
    <xf numFmtId="0" fontId="0" fillId="0" borderId="0" xfId="0"/>
    <xf numFmtId="164" fontId="3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164" fontId="0" fillId="0" borderId="0" xfId="0" applyNumberFormat="1"/>
    <xf numFmtId="164" fontId="3" fillId="0" borderId="1" xfId="0" applyNumberFormat="1" applyFont="1" applyBorder="1" applyAlignment="1">
      <alignment vertical="center"/>
    </xf>
    <xf numFmtId="164" fontId="3" fillId="0" borderId="2" xfId="0" applyNumberFormat="1" applyFont="1" applyBorder="1" applyAlignment="1">
      <alignment vertical="center"/>
    </xf>
    <xf numFmtId="164" fontId="3" fillId="2" borderId="0" xfId="0" applyNumberFormat="1" applyFont="1" applyFill="1" applyAlignment="1">
      <alignment vertical="center"/>
    </xf>
    <xf numFmtId="164" fontId="3" fillId="3" borderId="1" xfId="0" applyNumberFormat="1" applyFont="1" applyFill="1" applyBorder="1" applyAlignment="1">
      <alignment vertical="center"/>
    </xf>
    <xf numFmtId="164" fontId="3" fillId="4" borderId="1" xfId="0" applyNumberFormat="1" applyFont="1" applyFill="1" applyBorder="1" applyAlignment="1">
      <alignment vertical="center"/>
    </xf>
    <xf numFmtId="164" fontId="3" fillId="2" borderId="3" xfId="0" applyNumberFormat="1" applyFont="1" applyFill="1" applyBorder="1" applyAlignment="1">
      <alignment vertical="center"/>
    </xf>
    <xf numFmtId="164" fontId="3" fillId="0" borderId="0" xfId="0" applyNumberFormat="1" applyFont="1" applyFill="1" applyAlignment="1">
      <alignment vertical="center"/>
    </xf>
    <xf numFmtId="164" fontId="3" fillId="0" borderId="2" xfId="0" applyNumberFormat="1" applyFont="1" applyFill="1" applyBorder="1" applyAlignment="1">
      <alignment vertical="center"/>
    </xf>
    <xf numFmtId="164" fontId="3" fillId="3" borderId="2" xfId="0" applyNumberFormat="1" applyFont="1" applyFill="1" applyBorder="1" applyAlignment="1">
      <alignment vertical="center"/>
    </xf>
    <xf numFmtId="164" fontId="3" fillId="0" borderId="4" xfId="0" applyNumberFormat="1" applyFont="1" applyBorder="1" applyAlignment="1">
      <alignment vertical="center"/>
    </xf>
    <xf numFmtId="164" fontId="3" fillId="3" borderId="4" xfId="0" applyNumberFormat="1" applyFont="1" applyFill="1" applyBorder="1" applyAlignment="1">
      <alignment vertical="center"/>
    </xf>
    <xf numFmtId="164" fontId="3" fillId="4" borderId="2" xfId="0" applyNumberFormat="1" applyFont="1" applyFill="1" applyBorder="1" applyAlignment="1">
      <alignment vertical="center"/>
    </xf>
    <xf numFmtId="164" fontId="4" fillId="5" borderId="5" xfId="0" applyNumberFormat="1" applyFont="1" applyFill="1" applyBorder="1" applyAlignment="1">
      <alignment vertical="center"/>
    </xf>
    <xf numFmtId="164" fontId="3" fillId="4" borderId="4" xfId="0" applyNumberFormat="1" applyFont="1" applyFill="1" applyBorder="1" applyAlignment="1">
      <alignment vertical="center"/>
    </xf>
    <xf numFmtId="164" fontId="4" fillId="5" borderId="6" xfId="0" applyNumberFormat="1" applyFont="1" applyFill="1" applyBorder="1" applyAlignment="1">
      <alignment vertical="center"/>
    </xf>
    <xf numFmtId="164" fontId="3" fillId="4" borderId="6" xfId="0" applyNumberFormat="1" applyFont="1" applyFill="1" applyBorder="1" applyAlignment="1">
      <alignment vertical="center"/>
    </xf>
    <xf numFmtId="164" fontId="3" fillId="2" borderId="7" xfId="0" applyNumberFormat="1" applyFont="1" applyFill="1" applyBorder="1" applyAlignment="1">
      <alignment vertical="center"/>
    </xf>
    <xf numFmtId="164" fontId="3" fillId="0" borderId="6" xfId="0" applyNumberFormat="1" applyFont="1" applyBorder="1" applyAlignment="1">
      <alignment vertical="center"/>
    </xf>
    <xf numFmtId="164" fontId="4" fillId="5" borderId="1" xfId="0" applyNumberFormat="1" applyFont="1" applyFill="1" applyBorder="1" applyAlignment="1">
      <alignment vertical="center"/>
    </xf>
    <xf numFmtId="166" fontId="5" fillId="0" borderId="0" xfId="0" applyNumberFormat="1" applyFont="1" applyProtection="1"/>
    <xf numFmtId="166" fontId="5" fillId="0" borderId="0" xfId="0" applyNumberFormat="1" applyFont="1" applyAlignment="1" applyProtection="1">
      <alignment horizontal="center"/>
      <protection locked="0"/>
    </xf>
    <xf numFmtId="166" fontId="6" fillId="0" borderId="0" xfId="0" applyNumberFormat="1" applyFont="1" applyProtection="1"/>
    <xf numFmtId="166" fontId="6" fillId="0" borderId="0" xfId="0" applyNumberFormat="1" applyFont="1" applyAlignment="1" applyProtection="1">
      <alignment horizontal="center"/>
    </xf>
    <xf numFmtId="14" fontId="6" fillId="0" borderId="0" xfId="0" applyNumberFormat="1" applyFont="1" applyProtection="1"/>
    <xf numFmtId="0" fontId="5" fillId="0" borderId="0" xfId="0" applyFont="1" applyAlignment="1" applyProtection="1">
      <alignment horizontal="center"/>
      <protection locked="0"/>
    </xf>
    <xf numFmtId="166" fontId="5" fillId="0" borderId="0" xfId="0" applyNumberFormat="1" applyFont="1" applyFill="1" applyAlignment="1" applyProtection="1">
      <alignment horizontal="center" vertical="center" wrapText="1"/>
    </xf>
    <xf numFmtId="0" fontId="0" fillId="0" borderId="0" xfId="0" applyAlignment="1" applyProtection="1">
      <alignment horizontal="center" vertical="center" wrapText="1"/>
    </xf>
    <xf numFmtId="0" fontId="5" fillId="0" borderId="0" xfId="0" applyFont="1" applyAlignment="1" applyProtection="1">
      <alignment horizontal="center"/>
    </xf>
    <xf numFmtId="0" fontId="0" fillId="0" borderId="0" xfId="0" applyAlignment="1" applyProtection="1">
      <alignment horizontal="center" vertical="top"/>
    </xf>
    <xf numFmtId="14" fontId="6" fillId="0" borderId="0" xfId="0" applyNumberFormat="1" applyFont="1" applyAlignment="1" applyProtection="1">
      <alignment horizontal="center"/>
    </xf>
    <xf numFmtId="167" fontId="5" fillId="0" borderId="0" xfId="0" applyNumberFormat="1" applyFont="1" applyAlignment="1" applyProtection="1">
      <alignment horizontal="center"/>
    </xf>
    <xf numFmtId="168" fontId="5" fillId="0" borderId="2" xfId="0" applyNumberFormat="1" applyFont="1" applyBorder="1" applyAlignment="1" applyProtection="1">
      <alignment horizontal="center" vertical="top"/>
    </xf>
    <xf numFmtId="169" fontId="6" fillId="6" borderId="8" xfId="0" applyNumberFormat="1" applyFont="1" applyFill="1" applyBorder="1" applyAlignment="1" applyProtection="1">
      <alignment horizontal="center" vertical="center"/>
    </xf>
    <xf numFmtId="169" fontId="6" fillId="2" borderId="6" xfId="0" applyNumberFormat="1" applyFont="1" applyFill="1" applyBorder="1" applyAlignment="1" applyProtection="1">
      <alignment horizontal="center" vertical="center"/>
    </xf>
    <xf numFmtId="169" fontId="6" fillId="6" borderId="6" xfId="0" applyNumberFormat="1" applyFont="1" applyFill="1" applyBorder="1" applyAlignment="1" applyProtection="1">
      <alignment horizontal="center" vertical="center"/>
    </xf>
    <xf numFmtId="169" fontId="6" fillId="6" borderId="9" xfId="0" applyNumberFormat="1" applyFont="1" applyFill="1" applyBorder="1" applyAlignment="1" applyProtection="1">
      <alignment horizontal="center" vertical="center"/>
    </xf>
    <xf numFmtId="169" fontId="6" fillId="6" borderId="10" xfId="0" applyNumberFormat="1" applyFont="1" applyFill="1" applyBorder="1" applyAlignment="1" applyProtection="1">
      <alignment horizontal="center" vertical="center"/>
    </xf>
    <xf numFmtId="166" fontId="6" fillId="0" borderId="11" xfId="0" applyNumberFormat="1" applyFont="1" applyBorder="1" applyAlignment="1" applyProtection="1">
      <alignment horizontal="center" vertical="top"/>
    </xf>
    <xf numFmtId="0" fontId="0" fillId="0" borderId="2" xfId="0" applyBorder="1" applyAlignment="1" applyProtection="1">
      <alignment horizontal="center" vertical="top"/>
    </xf>
    <xf numFmtId="169" fontId="6" fillId="2" borderId="4" xfId="0" applyNumberFormat="1" applyFont="1" applyFill="1" applyBorder="1" applyAlignment="1" applyProtection="1">
      <alignment horizontal="center" vertical="center"/>
    </xf>
    <xf numFmtId="169" fontId="6" fillId="2" borderId="2" xfId="0" applyNumberFormat="1" applyFont="1" applyFill="1" applyBorder="1" applyAlignment="1" applyProtection="1">
      <alignment horizontal="center" vertical="center"/>
    </xf>
    <xf numFmtId="169" fontId="6" fillId="2" borderId="11" xfId="0" applyNumberFormat="1" applyFont="1" applyFill="1" applyBorder="1" applyAlignment="1" applyProtection="1">
      <alignment horizontal="center" vertical="center"/>
    </xf>
    <xf numFmtId="169" fontId="6" fillId="2" borderId="12" xfId="0" applyNumberFormat="1" applyFont="1" applyFill="1" applyBorder="1" applyAlignment="1" applyProtection="1">
      <alignment horizontal="center" vertical="center"/>
    </xf>
    <xf numFmtId="169" fontId="6" fillId="6" borderId="13" xfId="0" applyNumberFormat="1" applyFont="1" applyFill="1" applyBorder="1" applyAlignment="1" applyProtection="1">
      <alignment horizontal="center" vertical="center"/>
    </xf>
    <xf numFmtId="169" fontId="6" fillId="6" borderId="12" xfId="0" applyNumberFormat="1" applyFont="1" applyFill="1" applyBorder="1" applyAlignment="1" applyProtection="1">
      <alignment horizontal="center" vertical="center"/>
    </xf>
    <xf numFmtId="166" fontId="5" fillId="0" borderId="0" xfId="0" applyNumberFormat="1" applyFont="1" applyAlignment="1" applyProtection="1">
      <alignment horizontal="center"/>
    </xf>
    <xf numFmtId="169" fontId="6" fillId="6" borderId="4" xfId="0" applyNumberFormat="1" applyFont="1" applyFill="1" applyBorder="1" applyAlignment="1" applyProtection="1">
      <alignment horizontal="center" vertical="center"/>
    </xf>
    <xf numFmtId="169" fontId="6" fillId="6" borderId="11" xfId="0" applyNumberFormat="1" applyFont="1" applyFill="1" applyBorder="1" applyAlignment="1" applyProtection="1">
      <alignment horizontal="center" vertical="center"/>
    </xf>
    <xf numFmtId="169" fontId="6" fillId="6" borderId="2" xfId="0" applyNumberFormat="1" applyFont="1" applyFill="1" applyBorder="1" applyAlignment="1" applyProtection="1">
      <alignment horizontal="center" vertical="center"/>
    </xf>
    <xf numFmtId="169" fontId="6" fillId="6" borderId="14" xfId="0" applyNumberFormat="1" applyFont="1" applyFill="1" applyBorder="1" applyAlignment="1" applyProtection="1">
      <alignment horizontal="center" vertical="center"/>
    </xf>
    <xf numFmtId="169" fontId="6" fillId="6" borderId="15" xfId="0" applyNumberFormat="1" applyFont="1" applyFill="1" applyBorder="1" applyAlignment="1" applyProtection="1">
      <alignment horizontal="center" vertical="center"/>
    </xf>
    <xf numFmtId="169" fontId="6" fillId="6" borderId="5" xfId="0" applyNumberFormat="1" applyFont="1" applyFill="1" applyBorder="1" applyAlignment="1" applyProtection="1">
      <alignment horizontal="center" vertical="center"/>
    </xf>
    <xf numFmtId="169" fontId="6" fillId="6" borderId="16" xfId="0" applyNumberFormat="1" applyFont="1" applyFill="1" applyBorder="1" applyAlignment="1" applyProtection="1">
      <alignment horizontal="center" vertical="center"/>
    </xf>
    <xf numFmtId="169" fontId="6" fillId="6" borderId="17" xfId="0" applyNumberFormat="1" applyFont="1" applyFill="1" applyBorder="1" applyAlignment="1" applyProtection="1">
      <alignment horizontal="center" vertical="center"/>
    </xf>
    <xf numFmtId="169" fontId="6" fillId="6" borderId="18" xfId="0" applyNumberFormat="1" applyFont="1" applyFill="1" applyBorder="1" applyAlignment="1" applyProtection="1">
      <alignment horizontal="center" vertical="center"/>
    </xf>
    <xf numFmtId="169" fontId="6" fillId="6" borderId="19" xfId="0" applyNumberFormat="1" applyFont="1" applyFill="1" applyBorder="1" applyAlignment="1" applyProtection="1">
      <alignment horizontal="center" vertical="center"/>
    </xf>
    <xf numFmtId="169" fontId="6" fillId="2" borderId="16" xfId="0" applyNumberFormat="1" applyFont="1" applyFill="1" applyBorder="1" applyAlignment="1" applyProtection="1">
      <alignment horizontal="center" vertical="center"/>
    </xf>
    <xf numFmtId="169" fontId="6" fillId="6" borderId="20" xfId="0" applyNumberFormat="1" applyFont="1" applyFill="1" applyBorder="1" applyAlignment="1" applyProtection="1">
      <alignment horizontal="center" vertical="center"/>
    </xf>
    <xf numFmtId="169" fontId="6" fillId="6" borderId="1" xfId="0" applyNumberFormat="1" applyFont="1" applyFill="1" applyBorder="1" applyAlignment="1" applyProtection="1">
      <alignment horizontal="center" vertical="center"/>
    </xf>
    <xf numFmtId="169" fontId="6" fillId="2" borderId="1" xfId="0" applyNumberFormat="1" applyFont="1" applyFill="1" applyBorder="1" applyAlignment="1" applyProtection="1">
      <alignment horizontal="center" vertical="center"/>
    </xf>
    <xf numFmtId="166" fontId="6" fillId="0" borderId="2" xfId="0" applyNumberFormat="1" applyFont="1" applyBorder="1" applyProtection="1"/>
    <xf numFmtId="169" fontId="6" fillId="6" borderId="21" xfId="0" applyNumberFormat="1" applyFont="1" applyFill="1" applyBorder="1" applyAlignment="1" applyProtection="1">
      <alignment horizontal="center" vertical="center"/>
    </xf>
    <xf numFmtId="49" fontId="5" fillId="0" borderId="0" xfId="0" applyNumberFormat="1" applyFont="1" applyAlignment="1" applyProtection="1">
      <alignment horizontal="center" vertical="top"/>
    </xf>
    <xf numFmtId="0" fontId="7" fillId="0" borderId="0" xfId="0" applyFont="1" applyAlignment="1" applyProtection="1">
      <alignment horizontal="center" vertical="center"/>
    </xf>
    <xf numFmtId="166" fontId="5" fillId="0" borderId="0" xfId="0" applyNumberFormat="1" applyFont="1" applyFill="1" applyBorder="1" applyAlignment="1" applyProtection="1">
      <alignment horizontal="center" vertical="center" wrapText="1"/>
    </xf>
    <xf numFmtId="166" fontId="5" fillId="0" borderId="0" xfId="0" applyNumberFormat="1" applyFont="1" applyFill="1" applyBorder="1" applyAlignment="1" applyProtection="1">
      <alignment horizontal="center" vertical="top" wrapText="1"/>
    </xf>
    <xf numFmtId="49" fontId="5" fillId="0" borderId="0" xfId="0" applyNumberFormat="1" applyFont="1" applyFill="1" applyBorder="1" applyAlignment="1" applyProtection="1">
      <alignment horizontal="center" vertical="top" wrapText="1"/>
    </xf>
    <xf numFmtId="167" fontId="5" fillId="0" borderId="0" xfId="0" applyNumberFormat="1" applyFont="1" applyFill="1" applyBorder="1" applyAlignment="1" applyProtection="1">
      <alignment horizontal="center" vertical="center" wrapText="1"/>
    </xf>
    <xf numFmtId="167" fontId="5" fillId="0" borderId="0" xfId="0" applyNumberFormat="1" applyFont="1" applyFill="1" applyBorder="1" applyAlignment="1" applyProtection="1">
      <alignment horizontal="center" vertical="top" wrapText="1"/>
    </xf>
    <xf numFmtId="166" fontId="5" fillId="0" borderId="1" xfId="0" applyNumberFormat="1" applyFont="1" applyFill="1" applyBorder="1" applyAlignment="1" applyProtection="1">
      <alignment horizontal="center" vertical="top" wrapText="1"/>
    </xf>
    <xf numFmtId="168" fontId="5" fillId="0" borderId="2" xfId="0" applyNumberFormat="1" applyFont="1" applyFill="1" applyBorder="1" applyAlignment="1" applyProtection="1">
      <alignment horizontal="center" vertical="top" wrapText="1" shrinkToFit="1"/>
    </xf>
    <xf numFmtId="168" fontId="5" fillId="0" borderId="11" xfId="0" applyNumberFormat="1" applyFont="1" applyFill="1" applyBorder="1" applyAlignment="1" applyProtection="1">
      <alignment horizontal="center" vertical="top" wrapText="1" shrinkToFit="1"/>
    </xf>
    <xf numFmtId="49" fontId="5" fillId="0" borderId="12" xfId="0" applyNumberFormat="1" applyFont="1" applyFill="1" applyBorder="1" applyAlignment="1" applyProtection="1">
      <alignment horizontal="center" vertical="top" wrapText="1"/>
    </xf>
    <xf numFmtId="170" fontId="6" fillId="0" borderId="0" xfId="0" applyNumberFormat="1" applyFont="1" applyAlignment="1" applyProtection="1">
      <alignment horizontal="center"/>
      <protection locked="0"/>
    </xf>
    <xf numFmtId="49" fontId="5" fillId="0" borderId="0" xfId="0" applyNumberFormat="1" applyFont="1" applyBorder="1" applyAlignment="1" applyProtection="1">
      <alignment horizontal="center" vertical="top"/>
    </xf>
    <xf numFmtId="0" fontId="0" fillId="0" borderId="0" xfId="0" applyBorder="1" applyAlignment="1" applyProtection="1">
      <alignment horizontal="center" vertical="top"/>
    </xf>
    <xf numFmtId="167" fontId="5" fillId="0" borderId="0" xfId="0" applyNumberFormat="1" applyFont="1" applyBorder="1" applyAlignment="1" applyProtection="1">
      <alignment horizontal="center" vertical="center"/>
    </xf>
    <xf numFmtId="0" fontId="7" fillId="0" borderId="0" xfId="0" applyFont="1" applyBorder="1" applyAlignment="1" applyProtection="1">
      <alignment horizontal="center" vertical="center"/>
    </xf>
    <xf numFmtId="166" fontId="5" fillId="0" borderId="0" xfId="0" applyNumberFormat="1" applyFont="1" applyBorder="1" applyAlignment="1" applyProtection="1">
      <alignment horizontal="center" vertical="top"/>
    </xf>
    <xf numFmtId="166" fontId="5" fillId="0" borderId="0" xfId="0" applyNumberFormat="1" applyFont="1" applyAlignment="1" applyProtection="1">
      <alignment horizontal="center" vertical="top"/>
    </xf>
    <xf numFmtId="166" fontId="8" fillId="0" borderId="0" xfId="0" applyNumberFormat="1" applyFont="1" applyAlignment="1" applyProtection="1">
      <alignment horizontal="center" wrapText="1"/>
    </xf>
    <xf numFmtId="166" fontId="9" fillId="0" borderId="0" xfId="0" applyNumberFormat="1" applyFont="1" applyAlignment="1" applyProtection="1">
      <alignment horizontal="center" wrapText="1"/>
    </xf>
    <xf numFmtId="166" fontId="10" fillId="0" borderId="0" xfId="0" applyNumberFormat="1" applyFont="1" applyProtection="1"/>
    <xf numFmtId="165" fontId="11" fillId="6" borderId="8" xfId="0" applyNumberFormat="1" applyFont="1" applyFill="1" applyBorder="1" applyAlignment="1" applyProtection="1">
      <alignment horizontal="center" vertical="center"/>
    </xf>
    <xf numFmtId="165" fontId="11" fillId="2" borderId="6" xfId="0" applyNumberFormat="1" applyFont="1" applyFill="1" applyBorder="1" applyAlignment="1" applyProtection="1">
      <alignment horizontal="center" vertical="center"/>
    </xf>
    <xf numFmtId="165" fontId="11" fillId="6" borderId="6" xfId="0" applyNumberFormat="1" applyFont="1" applyFill="1" applyBorder="1" applyAlignment="1" applyProtection="1">
      <alignment horizontal="center" vertical="center"/>
    </xf>
    <xf numFmtId="165" fontId="11" fillId="6" borderId="10" xfId="0" applyNumberFormat="1" applyFont="1" applyFill="1" applyBorder="1" applyAlignment="1" applyProtection="1">
      <alignment horizontal="center" vertical="center"/>
    </xf>
    <xf numFmtId="0" fontId="12" fillId="0" borderId="0" xfId="0" applyFont="1"/>
    <xf numFmtId="165" fontId="11" fillId="2" borderId="4" xfId="0" applyNumberFormat="1" applyFont="1" applyFill="1" applyBorder="1" applyAlignment="1" applyProtection="1">
      <alignment horizontal="center" vertical="center"/>
    </xf>
    <xf numFmtId="165" fontId="11" fillId="2" borderId="2" xfId="0" applyNumberFormat="1" applyFont="1" applyFill="1" applyBorder="1" applyAlignment="1" applyProtection="1">
      <alignment horizontal="center" vertical="center"/>
    </xf>
    <xf numFmtId="165" fontId="11" fillId="2" borderId="11" xfId="0" applyNumberFormat="1" applyFont="1" applyFill="1" applyBorder="1" applyAlignment="1" applyProtection="1">
      <alignment horizontal="center" vertical="center"/>
    </xf>
    <xf numFmtId="165" fontId="11" fillId="2" borderId="12" xfId="0" applyNumberFormat="1" applyFont="1" applyFill="1" applyBorder="1" applyAlignment="1" applyProtection="1">
      <alignment horizontal="center" vertical="center"/>
    </xf>
    <xf numFmtId="165" fontId="11" fillId="6" borderId="12" xfId="0" applyNumberFormat="1" applyFont="1" applyFill="1" applyBorder="1" applyAlignment="1" applyProtection="1">
      <alignment horizontal="center" vertical="center"/>
    </xf>
    <xf numFmtId="168" fontId="10" fillId="0" borderId="0" xfId="0" applyNumberFormat="1" applyFont="1" applyBorder="1" applyAlignment="1" applyProtection="1">
      <alignment horizontal="center" vertical="center" wrapText="1" shrinkToFit="1"/>
    </xf>
    <xf numFmtId="165" fontId="11" fillId="6" borderId="4" xfId="0" applyNumberFormat="1" applyFont="1" applyFill="1" applyBorder="1" applyAlignment="1" applyProtection="1">
      <alignment horizontal="center" vertical="center"/>
    </xf>
    <xf numFmtId="0" fontId="12" fillId="0" borderId="2" xfId="0" applyFont="1" applyBorder="1" applyAlignment="1" applyProtection="1">
      <alignment horizontal="center" vertical="top" wrapText="1"/>
    </xf>
    <xf numFmtId="165" fontId="11" fillId="6" borderId="11" xfId="0" applyNumberFormat="1" applyFont="1" applyFill="1" applyBorder="1" applyAlignment="1" applyProtection="1">
      <alignment horizontal="center" vertical="center"/>
    </xf>
    <xf numFmtId="165" fontId="11" fillId="6" borderId="2" xfId="0" applyNumberFormat="1" applyFont="1" applyFill="1" applyBorder="1" applyAlignment="1" applyProtection="1">
      <alignment horizontal="center" vertical="center"/>
    </xf>
    <xf numFmtId="0" fontId="12" fillId="0" borderId="11" xfId="0" applyFont="1" applyBorder="1" applyAlignment="1" applyProtection="1">
      <alignment horizontal="center" vertical="center" wrapText="1"/>
    </xf>
    <xf numFmtId="166" fontId="11" fillId="0" borderId="0" xfId="0" applyNumberFormat="1" applyFont="1" applyAlignment="1" applyProtection="1">
      <alignment horizontal="center"/>
    </xf>
    <xf numFmtId="168" fontId="10" fillId="0" borderId="2" xfId="0" applyNumberFormat="1" applyFont="1" applyBorder="1" applyAlignment="1" applyProtection="1">
      <alignment horizontal="center" vertical="center" wrapText="1"/>
    </xf>
    <xf numFmtId="165" fontId="11" fillId="6" borderId="16" xfId="0" applyNumberFormat="1" applyFont="1" applyFill="1" applyBorder="1" applyAlignment="1" applyProtection="1">
      <alignment horizontal="center" vertical="center"/>
    </xf>
    <xf numFmtId="165" fontId="11" fillId="6" borderId="5" xfId="0" applyNumberFormat="1" applyFont="1" applyFill="1" applyBorder="1" applyAlignment="1" applyProtection="1">
      <alignment horizontal="center" vertical="center"/>
    </xf>
    <xf numFmtId="168" fontId="10" fillId="0" borderId="11" xfId="0" applyNumberFormat="1" applyFont="1" applyBorder="1" applyAlignment="1" applyProtection="1">
      <alignment horizontal="center" vertical="center" wrapText="1" shrinkToFit="1"/>
    </xf>
    <xf numFmtId="0" fontId="12" fillId="0" borderId="2" xfId="0" applyFont="1" applyBorder="1" applyAlignment="1" applyProtection="1">
      <alignment horizontal="center" vertical="top"/>
    </xf>
    <xf numFmtId="165" fontId="11" fillId="6" borderId="20" xfId="0" applyNumberFormat="1" applyFont="1" applyFill="1" applyBorder="1" applyAlignment="1" applyProtection="1">
      <alignment horizontal="center" vertical="center"/>
    </xf>
    <xf numFmtId="165" fontId="11" fillId="6" borderId="1" xfId="0" applyNumberFormat="1" applyFont="1" applyFill="1" applyBorder="1" applyAlignment="1" applyProtection="1">
      <alignment horizontal="center" vertical="center"/>
    </xf>
    <xf numFmtId="165" fontId="11" fillId="6" borderId="19" xfId="0" applyNumberFormat="1" applyFont="1" applyFill="1" applyBorder="1" applyAlignment="1" applyProtection="1">
      <alignment horizontal="center" vertical="center"/>
    </xf>
    <xf numFmtId="0" fontId="12" fillId="0" borderId="11" xfId="0" applyFont="1" applyBorder="1" applyAlignment="1" applyProtection="1">
      <alignment horizontal="center" vertical="top"/>
    </xf>
    <xf numFmtId="165" fontId="11" fillId="2" borderId="16" xfId="0" applyNumberFormat="1" applyFont="1" applyFill="1" applyBorder="1" applyAlignment="1" applyProtection="1">
      <alignment horizontal="center" vertical="center"/>
    </xf>
    <xf numFmtId="165" fontId="11" fillId="2" borderId="1" xfId="0" applyNumberFormat="1" applyFont="1" applyFill="1" applyBorder="1" applyAlignment="1" applyProtection="1">
      <alignment horizontal="center" vertical="center"/>
    </xf>
    <xf numFmtId="168" fontId="10" fillId="0" borderId="0" xfId="0" applyNumberFormat="1" applyFont="1" applyBorder="1" applyAlignment="1" applyProtection="1">
      <alignment horizontal="center" vertical="center" wrapText="1"/>
    </xf>
    <xf numFmtId="0" fontId="12" fillId="0" borderId="2" xfId="0" applyFont="1" applyBorder="1" applyAlignment="1" applyProtection="1">
      <alignment horizontal="center" vertical="center" wrapText="1"/>
    </xf>
    <xf numFmtId="165" fontId="11" fillId="6" borderId="21" xfId="0" applyNumberFormat="1" applyFont="1" applyFill="1" applyBorder="1" applyAlignment="1" applyProtection="1">
      <alignment horizontal="center" vertical="center"/>
    </xf>
    <xf numFmtId="166" fontId="8" fillId="0" borderId="0" xfId="0" applyNumberFormat="1" applyFont="1" applyAlignment="1" applyProtection="1">
      <alignment horizontal="center" vertical="top" wrapText="1"/>
    </xf>
    <xf numFmtId="49" fontId="8" fillId="0" borderId="0" xfId="0" applyNumberFormat="1" applyFont="1" applyBorder="1" applyAlignment="1" applyProtection="1">
      <alignment horizontal="center" vertical="top" wrapText="1"/>
    </xf>
    <xf numFmtId="166" fontId="6" fillId="0" borderId="0" xfId="0" applyNumberFormat="1" applyFont="1" applyBorder="1" applyAlignment="1" applyProtection="1"/>
    <xf numFmtId="166" fontId="6" fillId="0" borderId="0" xfId="0" applyNumberFormat="1" applyFont="1" applyAlignment="1" applyProtection="1"/>
    <xf numFmtId="166" fontId="6" fillId="0" borderId="0" xfId="0" applyNumberFormat="1" applyFont="1" applyBorder="1" applyProtection="1"/>
    <xf numFmtId="167" fontId="5" fillId="0" borderId="0" xfId="0" applyNumberFormat="1" applyFont="1" applyAlignment="1" applyProtection="1">
      <alignment horizontal="center" vertical="center"/>
    </xf>
    <xf numFmtId="0" fontId="0" fillId="0" borderId="0" xfId="0" applyAlignment="1" applyProtection="1">
      <alignment horizontal="center"/>
    </xf>
    <xf numFmtId="167" fontId="5" fillId="0" borderId="0" xfId="0" applyNumberFormat="1" applyFont="1" applyAlignment="1" applyProtection="1">
      <alignment horizontal="center" vertical="top"/>
    </xf>
    <xf numFmtId="0" fontId="0" fillId="0" borderId="0" xfId="0" applyFill="1" applyBorder="1"/>
  </cellXfs>
  <cellStyles count="5">
    <cellStyle name="Heading" xfId="1"/>
    <cellStyle name="Heading1" xfId="2"/>
    <cellStyle name="Normal" xfId="0" builtinId="0" customBuiltin="1"/>
    <cellStyle name="Result" xfId="3"/>
    <cellStyle name="Result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275040</xdr:colOff>
      <xdr:row>14</xdr:row>
      <xdr:rowOff>720</xdr:rowOff>
    </xdr:from>
    <xdr:ext cx="7201080" cy="3763800"/>
    <xdr:sp macro="" textlink="">
      <xdr:nvSpPr>
        <xdr:cNvPr id="6" name="Oval 1">
          <a:extLst>
            <a:ext uri="{FF2B5EF4-FFF2-40B4-BE49-F238E27FC236}">
              <a16:creationId xmlns:a16="http://schemas.microsoft.com/office/drawing/2014/main" id="{3727A489-F1E7-4B3F-9E6D-FB1F1AAA5E51}"/>
            </a:ext>
          </a:extLst>
        </xdr:cNvPr>
        <xdr:cNvSpPr/>
      </xdr:nvSpPr>
      <xdr:spPr>
        <a:xfrm>
          <a:off x="3361140" y="2157180"/>
          <a:ext cx="7201080" cy="376380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*/ 5419351 1 1725033"/>
            <a:gd name="f6" fmla="*/ 10800 10800 1"/>
            <a:gd name="f7" fmla="+- 0 0 0"/>
            <a:gd name="f8" fmla="+- 0 0 360"/>
            <a:gd name="f9" fmla="val 10800"/>
            <a:gd name="f10" fmla="*/ f3 1 21600"/>
            <a:gd name="f11" fmla="*/ f4 1 21600"/>
            <a:gd name="f12" fmla="*/ 0 f5 1"/>
            <a:gd name="f13" fmla="*/ f7 f0 1"/>
            <a:gd name="f14" fmla="*/ f8 f0 1"/>
            <a:gd name="f15" fmla="*/ 3163 f10 1"/>
            <a:gd name="f16" fmla="*/ 18437 f10 1"/>
            <a:gd name="f17" fmla="*/ 18437 f11 1"/>
            <a:gd name="f18" fmla="*/ 3163 f11 1"/>
            <a:gd name="f19" fmla="*/ f12 1 f2"/>
            <a:gd name="f20" fmla="*/ f13 1 f2"/>
            <a:gd name="f21" fmla="*/ f14 1 f2"/>
            <a:gd name="f22" fmla="*/ 10800 f10 1"/>
            <a:gd name="f23" fmla="*/ 0 f11 1"/>
            <a:gd name="f24" fmla="*/ 0 f10 1"/>
            <a:gd name="f25" fmla="*/ 10800 f11 1"/>
            <a:gd name="f26" fmla="*/ 21600 f11 1"/>
            <a:gd name="f27" fmla="*/ 21600 f10 1"/>
            <a:gd name="f28" fmla="+- 0 0 f19"/>
            <a:gd name="f29" fmla="+- f20 0 f1"/>
            <a:gd name="f30" fmla="+- f21 0 f1"/>
            <a:gd name="f31" fmla="*/ f28 f0 1"/>
            <a:gd name="f32" fmla="+- f30 0 f29"/>
            <a:gd name="f33" fmla="*/ f31 1 f5"/>
            <a:gd name="f34" fmla="+- f33 0 f1"/>
            <a:gd name="f35" fmla="cos 1 f34"/>
            <a:gd name="f36" fmla="sin 1 f34"/>
            <a:gd name="f37" fmla="+- 0 0 f35"/>
            <a:gd name="f38" fmla="+- 0 0 f36"/>
            <a:gd name="f39" fmla="*/ 10800 f37 1"/>
            <a:gd name="f40" fmla="*/ 10800 f38 1"/>
            <a:gd name="f41" fmla="*/ f39 f39 1"/>
            <a:gd name="f42" fmla="*/ f40 f40 1"/>
            <a:gd name="f43" fmla="+- f41 f42 0"/>
            <a:gd name="f44" fmla="sqrt f43"/>
            <a:gd name="f45" fmla="*/ f6 1 f44"/>
            <a:gd name="f46" fmla="*/ f37 f45 1"/>
            <a:gd name="f47" fmla="*/ f38 f45 1"/>
            <a:gd name="f48" fmla="+- 10800 0 f46"/>
            <a:gd name="f49" fmla="+- 10800 0 f47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9">
              <a:pos x="f22" y="f23"/>
            </a:cxn>
            <a:cxn ang="f29">
              <a:pos x="f15" y="f18"/>
            </a:cxn>
            <a:cxn ang="f29">
              <a:pos x="f24" y="f25"/>
            </a:cxn>
            <a:cxn ang="f29">
              <a:pos x="f15" y="f17"/>
            </a:cxn>
            <a:cxn ang="f29">
              <a:pos x="f22" y="f26"/>
            </a:cxn>
            <a:cxn ang="f29">
              <a:pos x="f16" y="f17"/>
            </a:cxn>
            <a:cxn ang="f29">
              <a:pos x="f27" y="f25"/>
            </a:cxn>
            <a:cxn ang="f29">
              <a:pos x="f16" y="f18"/>
            </a:cxn>
          </a:cxnLst>
          <a:rect l="f15" t="f18" r="f16" b="f17"/>
          <a:pathLst>
            <a:path w="21600" h="21600">
              <a:moveTo>
                <a:pt x="f48" y="f49"/>
              </a:moveTo>
              <a:arcTo wR="f9" hR="f9" stAng="f29" swAng="f32"/>
              <a:close/>
            </a:path>
          </a:pathLst>
        </a:custGeom>
        <a:noFill/>
        <a:ln w="9360">
          <a:solidFill>
            <a:srgbClr val="000000"/>
          </a:solidFill>
          <a:prstDash val="solid"/>
          <a:miter/>
        </a:ln>
      </xdr:spPr>
      <xdr:txBody>
        <a:bodyPr vert="horz" wrap="none" lIns="90000" tIns="46800" rIns="90000" bIns="46800" anchor="ctr" anchorCtr="0" compatLnSpc="0">
          <a:noAutofit/>
        </a:bodyPr>
        <a:lstStyle/>
        <a:p>
          <a:pPr lvl="0" rtl="0" hangingPunct="0">
            <a:buNone/>
            <a:tabLst/>
          </a:pPr>
          <a:endParaRPr lang="en-GB" sz="1200" kern="1200">
            <a:latin typeface="Times New Roman" pitchFamily="18"/>
          </a:endParaRPr>
        </a:p>
      </xdr:txBody>
    </xdr:sp>
    <xdr:clientData/>
  </xdr:oneCellAnchor>
  <xdr:oneCellAnchor>
    <xdr:from>
      <xdr:col>4</xdr:col>
      <xdr:colOff>10080</xdr:colOff>
      <xdr:row>10</xdr:row>
      <xdr:rowOff>720</xdr:rowOff>
    </xdr:from>
    <xdr:ext cx="9982800" cy="5348520"/>
    <xdr:sp macro="" textlink="">
      <xdr:nvSpPr>
        <xdr:cNvPr id="5" name="Oval 2">
          <a:extLst>
            <a:ext uri="{FF2B5EF4-FFF2-40B4-BE49-F238E27FC236}">
              <a16:creationId xmlns:a16="http://schemas.microsoft.com/office/drawing/2014/main" id="{9E2E655E-9789-4A8C-8609-A7EAAC4031ED}"/>
            </a:ext>
          </a:extLst>
        </xdr:cNvPr>
        <xdr:cNvSpPr/>
      </xdr:nvSpPr>
      <xdr:spPr>
        <a:xfrm>
          <a:off x="1998900" y="1364700"/>
          <a:ext cx="9982800" cy="534852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*/ 5419351 1 1725033"/>
            <a:gd name="f6" fmla="*/ 10800 10800 1"/>
            <a:gd name="f7" fmla="+- 0 0 0"/>
            <a:gd name="f8" fmla="+- 0 0 360"/>
            <a:gd name="f9" fmla="val 10800"/>
            <a:gd name="f10" fmla="*/ f3 1 21600"/>
            <a:gd name="f11" fmla="*/ f4 1 21600"/>
            <a:gd name="f12" fmla="*/ 0 f5 1"/>
            <a:gd name="f13" fmla="*/ f7 f0 1"/>
            <a:gd name="f14" fmla="*/ f8 f0 1"/>
            <a:gd name="f15" fmla="*/ 3163 f10 1"/>
            <a:gd name="f16" fmla="*/ 18437 f10 1"/>
            <a:gd name="f17" fmla="*/ 18437 f11 1"/>
            <a:gd name="f18" fmla="*/ 3163 f11 1"/>
            <a:gd name="f19" fmla="*/ f12 1 f2"/>
            <a:gd name="f20" fmla="*/ f13 1 f2"/>
            <a:gd name="f21" fmla="*/ f14 1 f2"/>
            <a:gd name="f22" fmla="*/ 10800 f10 1"/>
            <a:gd name="f23" fmla="*/ 0 f11 1"/>
            <a:gd name="f24" fmla="*/ 0 f10 1"/>
            <a:gd name="f25" fmla="*/ 10800 f11 1"/>
            <a:gd name="f26" fmla="*/ 21600 f11 1"/>
            <a:gd name="f27" fmla="*/ 21600 f10 1"/>
            <a:gd name="f28" fmla="+- 0 0 f19"/>
            <a:gd name="f29" fmla="+- f20 0 f1"/>
            <a:gd name="f30" fmla="+- f21 0 f1"/>
            <a:gd name="f31" fmla="*/ f28 f0 1"/>
            <a:gd name="f32" fmla="+- f30 0 f29"/>
            <a:gd name="f33" fmla="*/ f31 1 f5"/>
            <a:gd name="f34" fmla="+- f33 0 f1"/>
            <a:gd name="f35" fmla="cos 1 f34"/>
            <a:gd name="f36" fmla="sin 1 f34"/>
            <a:gd name="f37" fmla="+- 0 0 f35"/>
            <a:gd name="f38" fmla="+- 0 0 f36"/>
            <a:gd name="f39" fmla="*/ 10800 f37 1"/>
            <a:gd name="f40" fmla="*/ 10800 f38 1"/>
            <a:gd name="f41" fmla="*/ f39 f39 1"/>
            <a:gd name="f42" fmla="*/ f40 f40 1"/>
            <a:gd name="f43" fmla="+- f41 f42 0"/>
            <a:gd name="f44" fmla="sqrt f43"/>
            <a:gd name="f45" fmla="*/ f6 1 f44"/>
            <a:gd name="f46" fmla="*/ f37 f45 1"/>
            <a:gd name="f47" fmla="*/ f38 f45 1"/>
            <a:gd name="f48" fmla="+- 10800 0 f46"/>
            <a:gd name="f49" fmla="+- 10800 0 f47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9">
              <a:pos x="f22" y="f23"/>
            </a:cxn>
            <a:cxn ang="f29">
              <a:pos x="f15" y="f18"/>
            </a:cxn>
            <a:cxn ang="f29">
              <a:pos x="f24" y="f25"/>
            </a:cxn>
            <a:cxn ang="f29">
              <a:pos x="f15" y="f17"/>
            </a:cxn>
            <a:cxn ang="f29">
              <a:pos x="f22" y="f26"/>
            </a:cxn>
            <a:cxn ang="f29">
              <a:pos x="f16" y="f17"/>
            </a:cxn>
            <a:cxn ang="f29">
              <a:pos x="f27" y="f25"/>
            </a:cxn>
            <a:cxn ang="f29">
              <a:pos x="f16" y="f18"/>
            </a:cxn>
          </a:cxnLst>
          <a:rect l="f15" t="f18" r="f16" b="f17"/>
          <a:pathLst>
            <a:path w="21600" h="21600">
              <a:moveTo>
                <a:pt x="f48" y="f49"/>
              </a:moveTo>
              <a:arcTo wR="f9" hR="f9" stAng="f29" swAng="f32"/>
              <a:close/>
            </a:path>
          </a:pathLst>
        </a:custGeom>
        <a:noFill/>
        <a:ln w="9360">
          <a:solidFill>
            <a:srgbClr val="000000"/>
          </a:solidFill>
          <a:prstDash val="solid"/>
          <a:miter/>
        </a:ln>
      </xdr:spPr>
      <xdr:txBody>
        <a:bodyPr vert="horz" wrap="none" lIns="90000" tIns="46800" rIns="90000" bIns="46800" anchor="ctr" anchorCtr="0" compatLnSpc="0">
          <a:noAutofit/>
        </a:bodyPr>
        <a:lstStyle/>
        <a:p>
          <a:pPr lvl="0" rtl="0" hangingPunct="0">
            <a:buNone/>
            <a:tabLst/>
          </a:pPr>
          <a:endParaRPr lang="en-GB" sz="1200" kern="1200">
            <a:latin typeface="Times New Roman" pitchFamily="18"/>
          </a:endParaRPr>
        </a:p>
      </xdr:txBody>
    </xdr:sp>
    <xdr:clientData/>
  </xdr:oneCellAnchor>
  <xdr:oneCellAnchor>
    <xdr:from>
      <xdr:col>0</xdr:col>
      <xdr:colOff>218880</xdr:colOff>
      <xdr:row>4</xdr:row>
      <xdr:rowOff>82800</xdr:rowOff>
    </xdr:from>
    <xdr:ext cx="13065480" cy="7321680"/>
    <xdr:sp macro="" textlink="">
      <xdr:nvSpPr>
        <xdr:cNvPr id="2" name="Oval 3">
          <a:extLst>
            <a:ext uri="{FF2B5EF4-FFF2-40B4-BE49-F238E27FC236}">
              <a16:creationId xmlns:a16="http://schemas.microsoft.com/office/drawing/2014/main" id="{360DA8AE-FF06-4CCE-8D57-4F1CA6AA1033}"/>
            </a:ext>
          </a:extLst>
        </xdr:cNvPr>
        <xdr:cNvSpPr/>
      </xdr:nvSpPr>
      <xdr:spPr>
        <a:xfrm>
          <a:off x="218880" y="479040"/>
          <a:ext cx="13065480" cy="732168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*/ 5419351 1 1725033"/>
            <a:gd name="f6" fmla="*/ 10800 10800 1"/>
            <a:gd name="f7" fmla="+- 0 0 0"/>
            <a:gd name="f8" fmla="+- 0 0 360"/>
            <a:gd name="f9" fmla="val 10800"/>
            <a:gd name="f10" fmla="*/ f3 1 21600"/>
            <a:gd name="f11" fmla="*/ f4 1 21600"/>
            <a:gd name="f12" fmla="*/ 0 f5 1"/>
            <a:gd name="f13" fmla="*/ f7 f0 1"/>
            <a:gd name="f14" fmla="*/ f8 f0 1"/>
            <a:gd name="f15" fmla="*/ 3163 f10 1"/>
            <a:gd name="f16" fmla="*/ 18437 f10 1"/>
            <a:gd name="f17" fmla="*/ 18437 f11 1"/>
            <a:gd name="f18" fmla="*/ 3163 f11 1"/>
            <a:gd name="f19" fmla="*/ f12 1 f2"/>
            <a:gd name="f20" fmla="*/ f13 1 f2"/>
            <a:gd name="f21" fmla="*/ f14 1 f2"/>
            <a:gd name="f22" fmla="*/ 10800 f10 1"/>
            <a:gd name="f23" fmla="*/ 0 f11 1"/>
            <a:gd name="f24" fmla="*/ 0 f10 1"/>
            <a:gd name="f25" fmla="*/ 10800 f11 1"/>
            <a:gd name="f26" fmla="*/ 21600 f11 1"/>
            <a:gd name="f27" fmla="*/ 21600 f10 1"/>
            <a:gd name="f28" fmla="+- 0 0 f19"/>
            <a:gd name="f29" fmla="+- f20 0 f1"/>
            <a:gd name="f30" fmla="+- f21 0 f1"/>
            <a:gd name="f31" fmla="*/ f28 f0 1"/>
            <a:gd name="f32" fmla="+- f30 0 f29"/>
            <a:gd name="f33" fmla="*/ f31 1 f5"/>
            <a:gd name="f34" fmla="+- f33 0 f1"/>
            <a:gd name="f35" fmla="cos 1 f34"/>
            <a:gd name="f36" fmla="sin 1 f34"/>
            <a:gd name="f37" fmla="+- 0 0 f35"/>
            <a:gd name="f38" fmla="+- 0 0 f36"/>
            <a:gd name="f39" fmla="*/ 10800 f37 1"/>
            <a:gd name="f40" fmla="*/ 10800 f38 1"/>
            <a:gd name="f41" fmla="*/ f39 f39 1"/>
            <a:gd name="f42" fmla="*/ f40 f40 1"/>
            <a:gd name="f43" fmla="+- f41 f42 0"/>
            <a:gd name="f44" fmla="sqrt f43"/>
            <a:gd name="f45" fmla="*/ f6 1 f44"/>
            <a:gd name="f46" fmla="*/ f37 f45 1"/>
            <a:gd name="f47" fmla="*/ f38 f45 1"/>
            <a:gd name="f48" fmla="+- 10800 0 f46"/>
            <a:gd name="f49" fmla="+- 10800 0 f47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9">
              <a:pos x="f22" y="f23"/>
            </a:cxn>
            <a:cxn ang="f29">
              <a:pos x="f15" y="f18"/>
            </a:cxn>
            <a:cxn ang="f29">
              <a:pos x="f24" y="f25"/>
            </a:cxn>
            <a:cxn ang="f29">
              <a:pos x="f15" y="f17"/>
            </a:cxn>
            <a:cxn ang="f29">
              <a:pos x="f22" y="f26"/>
            </a:cxn>
            <a:cxn ang="f29">
              <a:pos x="f16" y="f17"/>
            </a:cxn>
            <a:cxn ang="f29">
              <a:pos x="f27" y="f25"/>
            </a:cxn>
            <a:cxn ang="f29">
              <a:pos x="f16" y="f18"/>
            </a:cxn>
          </a:cxnLst>
          <a:rect l="f15" t="f18" r="f16" b="f17"/>
          <a:pathLst>
            <a:path w="21600" h="21600">
              <a:moveTo>
                <a:pt x="f48" y="f49"/>
              </a:moveTo>
              <a:arcTo wR="f9" hR="f9" stAng="f29" swAng="f32"/>
              <a:close/>
            </a:path>
          </a:pathLst>
        </a:custGeom>
        <a:noFill/>
        <a:ln w="9360">
          <a:solidFill>
            <a:srgbClr val="000000"/>
          </a:solidFill>
          <a:prstDash val="solid"/>
          <a:miter/>
        </a:ln>
      </xdr:spPr>
      <xdr:txBody>
        <a:bodyPr vert="horz" wrap="none" lIns="90000" tIns="46800" rIns="90000" bIns="46800" anchor="ctr" anchorCtr="0" compatLnSpc="0">
          <a:noAutofit/>
        </a:bodyPr>
        <a:lstStyle/>
        <a:p>
          <a:pPr lvl="0" rtl="0" hangingPunct="0">
            <a:buNone/>
            <a:tabLst/>
          </a:pPr>
          <a:endParaRPr lang="en-GB" sz="1200" kern="1200">
            <a:latin typeface="Times New Roman" pitchFamily="18"/>
          </a:endParaRPr>
        </a:p>
      </xdr:txBody>
    </xdr:sp>
    <xdr:clientData/>
  </xdr:oneCellAnchor>
  <xdr:oneCellAnchor>
    <xdr:from>
      <xdr:col>9</xdr:col>
      <xdr:colOff>209520</xdr:colOff>
      <xdr:row>7</xdr:row>
      <xdr:rowOff>720</xdr:rowOff>
    </xdr:from>
    <xdr:ext cx="2940480" cy="3355920"/>
    <xdr:sp macro="" textlink="">
      <xdr:nvSpPr>
        <xdr:cNvPr id="3" name="Line 4">
          <a:extLst>
            <a:ext uri="{FF2B5EF4-FFF2-40B4-BE49-F238E27FC236}">
              <a16:creationId xmlns:a16="http://schemas.microsoft.com/office/drawing/2014/main" id="{4DE0DB05-27AF-4FDB-B67D-00FE37A218C9}"/>
            </a:ext>
          </a:extLst>
        </xdr:cNvPr>
        <xdr:cNvSpPr/>
      </xdr:nvSpPr>
      <xdr:spPr>
        <a:xfrm>
          <a:off x="4027140" y="770340"/>
          <a:ext cx="2940480" cy="3355920"/>
        </a:xfrm>
        <a:prstGeom prst="line">
          <a:avLst/>
        </a:prstGeom>
        <a:noFill/>
        <a:ln w="9360">
          <a:solidFill>
            <a:srgbClr val="000000"/>
          </a:solidFill>
          <a:prstDash val="solid"/>
          <a:miter/>
        </a:ln>
      </xdr:spPr>
      <xdr:txBody>
        <a:bodyPr vert="horz" wrap="square" lIns="90000" tIns="46800" rIns="90000" bIns="46800" anchor="t" anchorCtr="0" compatLnSpc="0">
          <a:noAutofit/>
        </a:bodyPr>
        <a:lstStyle/>
        <a:p>
          <a:pPr lvl="0" rtl="0" hangingPunct="0">
            <a:buNone/>
            <a:tabLst/>
          </a:pPr>
          <a:endParaRPr lang="en-GB" sz="1200" kern="1200">
            <a:latin typeface="Times New Roman" pitchFamily="18"/>
          </a:endParaRPr>
        </a:p>
      </xdr:txBody>
    </xdr:sp>
    <xdr:clientData/>
  </xdr:oneCellAnchor>
  <xdr:oneCellAnchor>
    <xdr:from>
      <xdr:col>17</xdr:col>
      <xdr:colOff>208080</xdr:colOff>
      <xdr:row>7</xdr:row>
      <xdr:rowOff>720</xdr:rowOff>
    </xdr:from>
    <xdr:ext cx="2949840" cy="3355920"/>
    <xdr:sp macro="" textlink="">
      <xdr:nvSpPr>
        <xdr:cNvPr id="4" name="Line 5">
          <a:extLst>
            <a:ext uri="{FF2B5EF4-FFF2-40B4-BE49-F238E27FC236}">
              <a16:creationId xmlns:a16="http://schemas.microsoft.com/office/drawing/2014/main" id="{335AC048-D9F8-495A-9076-7551410165DB}"/>
            </a:ext>
          </a:extLst>
        </xdr:cNvPr>
        <xdr:cNvSpPr/>
      </xdr:nvSpPr>
      <xdr:spPr>
        <a:xfrm flipH="1">
          <a:off x="6951780" y="770340"/>
          <a:ext cx="2949840" cy="3355920"/>
        </a:xfrm>
        <a:prstGeom prst="line">
          <a:avLst/>
        </a:prstGeom>
        <a:noFill/>
        <a:ln w="9360">
          <a:solidFill>
            <a:srgbClr val="000000"/>
          </a:solidFill>
          <a:prstDash val="solid"/>
          <a:miter/>
        </a:ln>
      </xdr:spPr>
      <xdr:txBody>
        <a:bodyPr vert="horz" wrap="square" lIns="90000" tIns="46800" rIns="90000" bIns="46800" anchor="t" anchorCtr="0" compatLnSpc="0">
          <a:noAutofit/>
        </a:bodyPr>
        <a:lstStyle/>
        <a:p>
          <a:pPr lvl="0" rtl="0" hangingPunct="0">
            <a:buNone/>
            <a:tabLst/>
          </a:pPr>
          <a:endParaRPr lang="en-GB" sz="1200" kern="1200">
            <a:latin typeface="Times New Roman" pitchFamily="18"/>
          </a:endParaRPr>
        </a:p>
      </xdr:txBody>
    </xdr:sp>
    <xdr:clientData/>
  </xdr:oneCellAnchor>
  <xdr:oneCellAnchor>
    <xdr:from>
      <xdr:col>17</xdr:col>
      <xdr:colOff>208800</xdr:colOff>
      <xdr:row>23</xdr:row>
      <xdr:rowOff>188280</xdr:rowOff>
    </xdr:from>
    <xdr:ext cx="2950560" cy="3160800"/>
    <xdr:sp macro="" textlink="">
      <xdr:nvSpPr>
        <xdr:cNvPr id="11" name="Line 6">
          <a:extLst>
            <a:ext uri="{FF2B5EF4-FFF2-40B4-BE49-F238E27FC236}">
              <a16:creationId xmlns:a16="http://schemas.microsoft.com/office/drawing/2014/main" id="{4C3305BE-7E62-4489-AAC5-B926CADD11FE}"/>
            </a:ext>
          </a:extLst>
        </xdr:cNvPr>
        <xdr:cNvSpPr/>
      </xdr:nvSpPr>
      <xdr:spPr>
        <a:xfrm>
          <a:off x="6952500" y="4127820"/>
          <a:ext cx="2950560" cy="3160800"/>
        </a:xfrm>
        <a:prstGeom prst="line">
          <a:avLst/>
        </a:prstGeom>
        <a:noFill/>
        <a:ln w="9360">
          <a:solidFill>
            <a:srgbClr val="000000"/>
          </a:solidFill>
          <a:prstDash val="solid"/>
          <a:miter/>
        </a:ln>
      </xdr:spPr>
      <xdr:txBody>
        <a:bodyPr vert="horz" wrap="square" lIns="90000" tIns="46800" rIns="90000" bIns="46800" anchor="t" anchorCtr="0" compatLnSpc="0">
          <a:noAutofit/>
        </a:bodyPr>
        <a:lstStyle/>
        <a:p>
          <a:pPr lvl="0" rtl="0" hangingPunct="0">
            <a:buNone/>
            <a:tabLst/>
          </a:pPr>
          <a:endParaRPr lang="en-GB" sz="1200" kern="1200">
            <a:latin typeface="Times New Roman" pitchFamily="18"/>
          </a:endParaRPr>
        </a:p>
      </xdr:txBody>
    </xdr:sp>
    <xdr:clientData/>
  </xdr:oneCellAnchor>
  <xdr:oneCellAnchor>
    <xdr:from>
      <xdr:col>9</xdr:col>
      <xdr:colOff>218160</xdr:colOff>
      <xdr:row>23</xdr:row>
      <xdr:rowOff>188280</xdr:rowOff>
    </xdr:from>
    <xdr:ext cx="2931840" cy="3160800"/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A41B9F7E-C668-4947-8FAE-36960E21C307}"/>
            </a:ext>
          </a:extLst>
        </xdr:cNvPr>
        <xdr:cNvSpPr/>
      </xdr:nvSpPr>
      <xdr:spPr>
        <a:xfrm flipH="1">
          <a:off x="4035780" y="4127820"/>
          <a:ext cx="2931840" cy="3160800"/>
        </a:xfrm>
        <a:prstGeom prst="line">
          <a:avLst/>
        </a:prstGeom>
        <a:noFill/>
        <a:ln w="9360">
          <a:solidFill>
            <a:srgbClr val="000000"/>
          </a:solidFill>
          <a:prstDash val="solid"/>
          <a:miter/>
        </a:ln>
      </xdr:spPr>
      <xdr:txBody>
        <a:bodyPr vert="horz" wrap="square" lIns="90000" tIns="46800" rIns="90000" bIns="46800" anchor="t" anchorCtr="0" compatLnSpc="0">
          <a:noAutofit/>
        </a:bodyPr>
        <a:lstStyle/>
        <a:p>
          <a:pPr lvl="0" rtl="0" hangingPunct="0">
            <a:buNone/>
            <a:tabLst/>
          </a:pPr>
          <a:endParaRPr lang="en-GB" sz="1200" kern="1200">
            <a:latin typeface="Times New Roman" pitchFamily="18"/>
          </a:endParaRPr>
        </a:p>
      </xdr:txBody>
    </xdr:sp>
    <xdr:clientData/>
  </xdr:oneCellAnchor>
  <xdr:oneCellAnchor>
    <xdr:from>
      <xdr:col>1</xdr:col>
      <xdr:colOff>720</xdr:colOff>
      <xdr:row>15</xdr:row>
      <xdr:rowOff>188640</xdr:rowOff>
    </xdr:from>
    <xdr:ext cx="6089760" cy="1583999"/>
    <xdr:sp macro="" textlink="">
      <xdr:nvSpPr>
        <xdr:cNvPr id="7" name="Line 8">
          <a:extLst>
            <a:ext uri="{FF2B5EF4-FFF2-40B4-BE49-F238E27FC236}">
              <a16:creationId xmlns:a16="http://schemas.microsoft.com/office/drawing/2014/main" id="{09860E17-CF70-4B52-8E75-6340C7ECD5E0}"/>
            </a:ext>
          </a:extLst>
        </xdr:cNvPr>
        <xdr:cNvSpPr/>
      </xdr:nvSpPr>
      <xdr:spPr>
        <a:xfrm>
          <a:off x="892260" y="2543220"/>
          <a:ext cx="6089760" cy="1583999"/>
        </a:xfrm>
        <a:prstGeom prst="line">
          <a:avLst/>
        </a:prstGeom>
        <a:noFill/>
        <a:ln w="9360">
          <a:solidFill>
            <a:srgbClr val="000000"/>
          </a:solidFill>
          <a:prstDash val="solid"/>
          <a:miter/>
        </a:ln>
      </xdr:spPr>
      <xdr:txBody>
        <a:bodyPr vert="horz" wrap="square" lIns="90000" tIns="46800" rIns="90000" bIns="46800" anchor="t" anchorCtr="0" compatLnSpc="0">
          <a:noAutofit/>
        </a:bodyPr>
        <a:lstStyle/>
        <a:p>
          <a:pPr lvl="0" rtl="0" hangingPunct="0">
            <a:buNone/>
            <a:tabLst/>
          </a:pPr>
          <a:endParaRPr lang="en-GB" sz="1200" kern="1200">
            <a:latin typeface="Times New Roman" pitchFamily="18"/>
          </a:endParaRPr>
        </a:p>
      </xdr:txBody>
    </xdr:sp>
    <xdr:clientData/>
  </xdr:oneCellAnchor>
  <xdr:oneCellAnchor>
    <xdr:from>
      <xdr:col>0</xdr:col>
      <xdr:colOff>705960</xdr:colOff>
      <xdr:row>23</xdr:row>
      <xdr:rowOff>188280</xdr:rowOff>
    </xdr:from>
    <xdr:ext cx="6274440" cy="1584359"/>
    <xdr:sp macro="" textlink="">
      <xdr:nvSpPr>
        <xdr:cNvPr id="9" name="Line 9">
          <a:extLst>
            <a:ext uri="{FF2B5EF4-FFF2-40B4-BE49-F238E27FC236}">
              <a16:creationId xmlns:a16="http://schemas.microsoft.com/office/drawing/2014/main" id="{1DFA1560-A6D4-46F1-B257-7F90210C1F28}"/>
            </a:ext>
          </a:extLst>
        </xdr:cNvPr>
        <xdr:cNvSpPr/>
      </xdr:nvSpPr>
      <xdr:spPr>
        <a:xfrm flipV="1">
          <a:off x="705960" y="4127820"/>
          <a:ext cx="6274440" cy="1584359"/>
        </a:xfrm>
        <a:prstGeom prst="line">
          <a:avLst/>
        </a:prstGeom>
        <a:noFill/>
        <a:ln w="9360">
          <a:solidFill>
            <a:srgbClr val="000000"/>
          </a:solidFill>
          <a:prstDash val="solid"/>
          <a:miter/>
        </a:ln>
      </xdr:spPr>
      <xdr:txBody>
        <a:bodyPr vert="horz" wrap="square" lIns="90000" tIns="46800" rIns="90000" bIns="46800" anchor="t" anchorCtr="0" compatLnSpc="0">
          <a:noAutofit/>
        </a:bodyPr>
        <a:lstStyle/>
        <a:p>
          <a:pPr lvl="0" rtl="0" hangingPunct="0">
            <a:buNone/>
            <a:tabLst/>
          </a:pPr>
          <a:endParaRPr lang="en-GB" sz="1200" kern="1200">
            <a:latin typeface="Times New Roman" pitchFamily="18"/>
          </a:endParaRPr>
        </a:p>
      </xdr:txBody>
    </xdr:sp>
    <xdr:clientData/>
  </xdr:oneCellAnchor>
  <xdr:oneCellAnchor>
    <xdr:from>
      <xdr:col>17</xdr:col>
      <xdr:colOff>208800</xdr:colOff>
      <xdr:row>23</xdr:row>
      <xdr:rowOff>188280</xdr:rowOff>
    </xdr:from>
    <xdr:ext cx="6040080" cy="1584359"/>
    <xdr:sp macro="" textlink="">
      <xdr:nvSpPr>
        <xdr:cNvPr id="12" name="Line 10">
          <a:extLst>
            <a:ext uri="{FF2B5EF4-FFF2-40B4-BE49-F238E27FC236}">
              <a16:creationId xmlns:a16="http://schemas.microsoft.com/office/drawing/2014/main" id="{4B976A34-209E-4EC2-93B1-9B2D05D2C30F}"/>
            </a:ext>
          </a:extLst>
        </xdr:cNvPr>
        <xdr:cNvSpPr/>
      </xdr:nvSpPr>
      <xdr:spPr>
        <a:xfrm>
          <a:off x="6952500" y="4127820"/>
          <a:ext cx="6040080" cy="1584359"/>
        </a:xfrm>
        <a:prstGeom prst="line">
          <a:avLst/>
        </a:prstGeom>
        <a:noFill/>
        <a:ln w="9360">
          <a:solidFill>
            <a:srgbClr val="000000"/>
          </a:solidFill>
          <a:prstDash val="solid"/>
          <a:miter/>
        </a:ln>
      </xdr:spPr>
      <xdr:txBody>
        <a:bodyPr vert="horz" wrap="square" lIns="90000" tIns="46800" rIns="90000" bIns="46800" anchor="t" anchorCtr="0" compatLnSpc="0">
          <a:noAutofit/>
        </a:bodyPr>
        <a:lstStyle/>
        <a:p>
          <a:pPr lvl="0" rtl="0" hangingPunct="0">
            <a:buNone/>
            <a:tabLst/>
          </a:pPr>
          <a:endParaRPr lang="en-GB" sz="1200" kern="1200">
            <a:latin typeface="Times New Roman" pitchFamily="18"/>
          </a:endParaRPr>
        </a:p>
      </xdr:txBody>
    </xdr:sp>
    <xdr:clientData/>
  </xdr:oneCellAnchor>
  <xdr:oneCellAnchor>
    <xdr:from>
      <xdr:col>17</xdr:col>
      <xdr:colOff>208800</xdr:colOff>
      <xdr:row>15</xdr:row>
      <xdr:rowOff>191160</xdr:rowOff>
    </xdr:from>
    <xdr:ext cx="6040080" cy="1581479"/>
    <xdr:sp macro="" textlink="">
      <xdr:nvSpPr>
        <xdr:cNvPr id="8" name="Line 11">
          <a:extLst>
            <a:ext uri="{FF2B5EF4-FFF2-40B4-BE49-F238E27FC236}">
              <a16:creationId xmlns:a16="http://schemas.microsoft.com/office/drawing/2014/main" id="{2E7994AF-1BBA-43C5-981B-F3C986E4C4D3}"/>
            </a:ext>
          </a:extLst>
        </xdr:cNvPr>
        <xdr:cNvSpPr/>
      </xdr:nvSpPr>
      <xdr:spPr>
        <a:xfrm flipV="1">
          <a:off x="6952500" y="2545740"/>
          <a:ext cx="6040080" cy="1581479"/>
        </a:xfrm>
        <a:prstGeom prst="line">
          <a:avLst/>
        </a:prstGeom>
        <a:noFill/>
        <a:ln w="9360">
          <a:solidFill>
            <a:srgbClr val="000000"/>
          </a:solidFill>
          <a:prstDash val="solid"/>
          <a:miter/>
        </a:ln>
      </xdr:spPr>
      <xdr:txBody>
        <a:bodyPr vert="horz" wrap="square" lIns="90000" tIns="46800" rIns="90000" bIns="46800" anchor="t" anchorCtr="0" compatLnSpc="0">
          <a:noAutofit/>
        </a:bodyPr>
        <a:lstStyle/>
        <a:p>
          <a:pPr lvl="0" rtl="0" hangingPunct="0">
            <a:buNone/>
            <a:tabLst/>
          </a:pPr>
          <a:endParaRPr lang="en-GB" sz="1200" kern="1200">
            <a:latin typeface="Times New Roman" pitchFamily="18"/>
          </a:endParaRP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720</xdr:colOff>
      <xdr:row>11</xdr:row>
      <xdr:rowOff>0</xdr:rowOff>
    </xdr:from>
    <xdr:ext cx="7311600" cy="3907800"/>
    <xdr:sp macro="" textlink="">
      <xdr:nvSpPr>
        <xdr:cNvPr id="5" name="Oval 1">
          <a:extLst>
            <a:ext uri="{FF2B5EF4-FFF2-40B4-BE49-F238E27FC236}">
              <a16:creationId xmlns:a16="http://schemas.microsoft.com/office/drawing/2014/main" id="{46997165-856D-405E-9184-8DBC180154F6}"/>
            </a:ext>
          </a:extLst>
        </xdr:cNvPr>
        <xdr:cNvSpPr/>
      </xdr:nvSpPr>
      <xdr:spPr>
        <a:xfrm>
          <a:off x="3650700" y="2948940"/>
          <a:ext cx="7311600" cy="390780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*/ 5419351 1 1725033"/>
            <a:gd name="f6" fmla="*/ 10800 10800 1"/>
            <a:gd name="f7" fmla="+- 0 0 0"/>
            <a:gd name="f8" fmla="+- 0 0 360"/>
            <a:gd name="f9" fmla="val 10800"/>
            <a:gd name="f10" fmla="*/ f3 1 21600"/>
            <a:gd name="f11" fmla="*/ f4 1 21600"/>
            <a:gd name="f12" fmla="*/ 0 f5 1"/>
            <a:gd name="f13" fmla="*/ f7 f0 1"/>
            <a:gd name="f14" fmla="*/ f8 f0 1"/>
            <a:gd name="f15" fmla="*/ 3163 f10 1"/>
            <a:gd name="f16" fmla="*/ 18437 f10 1"/>
            <a:gd name="f17" fmla="*/ 18437 f11 1"/>
            <a:gd name="f18" fmla="*/ 3163 f11 1"/>
            <a:gd name="f19" fmla="*/ f12 1 f2"/>
            <a:gd name="f20" fmla="*/ f13 1 f2"/>
            <a:gd name="f21" fmla="*/ f14 1 f2"/>
            <a:gd name="f22" fmla="*/ 10800 f10 1"/>
            <a:gd name="f23" fmla="*/ 0 f11 1"/>
            <a:gd name="f24" fmla="*/ 0 f10 1"/>
            <a:gd name="f25" fmla="*/ 10800 f11 1"/>
            <a:gd name="f26" fmla="*/ 21600 f11 1"/>
            <a:gd name="f27" fmla="*/ 21600 f10 1"/>
            <a:gd name="f28" fmla="+- 0 0 f19"/>
            <a:gd name="f29" fmla="+- f20 0 f1"/>
            <a:gd name="f30" fmla="+- f21 0 f1"/>
            <a:gd name="f31" fmla="*/ f28 f0 1"/>
            <a:gd name="f32" fmla="+- f30 0 f29"/>
            <a:gd name="f33" fmla="*/ f31 1 f5"/>
            <a:gd name="f34" fmla="+- f33 0 f1"/>
            <a:gd name="f35" fmla="cos 1 f34"/>
            <a:gd name="f36" fmla="sin 1 f34"/>
            <a:gd name="f37" fmla="+- 0 0 f35"/>
            <a:gd name="f38" fmla="+- 0 0 f36"/>
            <a:gd name="f39" fmla="*/ 10800 f37 1"/>
            <a:gd name="f40" fmla="*/ 10800 f38 1"/>
            <a:gd name="f41" fmla="*/ f39 f39 1"/>
            <a:gd name="f42" fmla="*/ f40 f40 1"/>
            <a:gd name="f43" fmla="+- f41 f42 0"/>
            <a:gd name="f44" fmla="sqrt f43"/>
            <a:gd name="f45" fmla="*/ f6 1 f44"/>
            <a:gd name="f46" fmla="*/ f37 f45 1"/>
            <a:gd name="f47" fmla="*/ f38 f45 1"/>
            <a:gd name="f48" fmla="+- 10800 0 f46"/>
            <a:gd name="f49" fmla="+- 10800 0 f47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9">
              <a:pos x="f22" y="f23"/>
            </a:cxn>
            <a:cxn ang="f29">
              <a:pos x="f15" y="f18"/>
            </a:cxn>
            <a:cxn ang="f29">
              <a:pos x="f24" y="f25"/>
            </a:cxn>
            <a:cxn ang="f29">
              <a:pos x="f15" y="f17"/>
            </a:cxn>
            <a:cxn ang="f29">
              <a:pos x="f22" y="f26"/>
            </a:cxn>
            <a:cxn ang="f29">
              <a:pos x="f16" y="f17"/>
            </a:cxn>
            <a:cxn ang="f29">
              <a:pos x="f27" y="f25"/>
            </a:cxn>
            <a:cxn ang="f29">
              <a:pos x="f16" y="f18"/>
            </a:cxn>
          </a:cxnLst>
          <a:rect l="f15" t="f18" r="f16" b="f17"/>
          <a:pathLst>
            <a:path w="21600" h="21600">
              <a:moveTo>
                <a:pt x="f48" y="f49"/>
              </a:moveTo>
              <a:arcTo wR="f9" hR="f9" stAng="f29" swAng="f32"/>
              <a:close/>
            </a:path>
          </a:pathLst>
        </a:custGeom>
        <a:noFill/>
        <a:ln w="9360">
          <a:solidFill>
            <a:srgbClr val="000000"/>
          </a:solidFill>
          <a:prstDash val="solid"/>
          <a:miter/>
        </a:ln>
      </xdr:spPr>
      <xdr:txBody>
        <a:bodyPr vert="horz" wrap="none" lIns="90000" tIns="46800" rIns="90000" bIns="46800" anchor="ctr" anchorCtr="0" compatLnSpc="0">
          <a:noAutofit/>
        </a:bodyPr>
        <a:lstStyle/>
        <a:p>
          <a:pPr lvl="0" rtl="0" hangingPunct="0">
            <a:buNone/>
            <a:tabLst/>
          </a:pPr>
          <a:endParaRPr lang="en-GB" sz="1200" kern="1200">
            <a:latin typeface="Times New Roman" pitchFamily="18"/>
          </a:endParaRPr>
        </a:p>
      </xdr:txBody>
    </xdr:sp>
    <xdr:clientData/>
  </xdr:oneCellAnchor>
  <xdr:oneCellAnchor>
    <xdr:from>
      <xdr:col>4</xdr:col>
      <xdr:colOff>360</xdr:colOff>
      <xdr:row>7</xdr:row>
      <xdr:rowOff>0</xdr:rowOff>
    </xdr:from>
    <xdr:ext cx="9805680" cy="6294599"/>
    <xdr:sp macro="" textlink="">
      <xdr:nvSpPr>
        <xdr:cNvPr id="4" name="Oval 2">
          <a:extLst>
            <a:ext uri="{FF2B5EF4-FFF2-40B4-BE49-F238E27FC236}">
              <a16:creationId xmlns:a16="http://schemas.microsoft.com/office/drawing/2014/main" id="{FB7F532C-46E2-424E-ADC5-ED99DA5779A8}"/>
            </a:ext>
          </a:extLst>
        </xdr:cNvPr>
        <xdr:cNvSpPr/>
      </xdr:nvSpPr>
      <xdr:spPr>
        <a:xfrm>
          <a:off x="2187300" y="2125980"/>
          <a:ext cx="9805680" cy="6294599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*/ 5419351 1 1725033"/>
            <a:gd name="f6" fmla="*/ 10800 10800 1"/>
            <a:gd name="f7" fmla="+- 0 0 0"/>
            <a:gd name="f8" fmla="+- 0 0 360"/>
            <a:gd name="f9" fmla="val 10800"/>
            <a:gd name="f10" fmla="*/ f3 1 21600"/>
            <a:gd name="f11" fmla="*/ f4 1 21600"/>
            <a:gd name="f12" fmla="*/ 0 f5 1"/>
            <a:gd name="f13" fmla="*/ f7 f0 1"/>
            <a:gd name="f14" fmla="*/ f8 f0 1"/>
            <a:gd name="f15" fmla="*/ 3163 f10 1"/>
            <a:gd name="f16" fmla="*/ 18437 f10 1"/>
            <a:gd name="f17" fmla="*/ 18437 f11 1"/>
            <a:gd name="f18" fmla="*/ 3163 f11 1"/>
            <a:gd name="f19" fmla="*/ f12 1 f2"/>
            <a:gd name="f20" fmla="*/ f13 1 f2"/>
            <a:gd name="f21" fmla="*/ f14 1 f2"/>
            <a:gd name="f22" fmla="*/ 10800 f10 1"/>
            <a:gd name="f23" fmla="*/ 0 f11 1"/>
            <a:gd name="f24" fmla="*/ 0 f10 1"/>
            <a:gd name="f25" fmla="*/ 10800 f11 1"/>
            <a:gd name="f26" fmla="*/ 21600 f11 1"/>
            <a:gd name="f27" fmla="*/ 21600 f10 1"/>
            <a:gd name="f28" fmla="+- 0 0 f19"/>
            <a:gd name="f29" fmla="+- f20 0 f1"/>
            <a:gd name="f30" fmla="+- f21 0 f1"/>
            <a:gd name="f31" fmla="*/ f28 f0 1"/>
            <a:gd name="f32" fmla="+- f30 0 f29"/>
            <a:gd name="f33" fmla="*/ f31 1 f5"/>
            <a:gd name="f34" fmla="+- f33 0 f1"/>
            <a:gd name="f35" fmla="cos 1 f34"/>
            <a:gd name="f36" fmla="sin 1 f34"/>
            <a:gd name="f37" fmla="+- 0 0 f35"/>
            <a:gd name="f38" fmla="+- 0 0 f36"/>
            <a:gd name="f39" fmla="*/ 10800 f37 1"/>
            <a:gd name="f40" fmla="*/ 10800 f38 1"/>
            <a:gd name="f41" fmla="*/ f39 f39 1"/>
            <a:gd name="f42" fmla="*/ f40 f40 1"/>
            <a:gd name="f43" fmla="+- f41 f42 0"/>
            <a:gd name="f44" fmla="sqrt f43"/>
            <a:gd name="f45" fmla="*/ f6 1 f44"/>
            <a:gd name="f46" fmla="*/ f37 f45 1"/>
            <a:gd name="f47" fmla="*/ f38 f45 1"/>
            <a:gd name="f48" fmla="+- 10800 0 f46"/>
            <a:gd name="f49" fmla="+- 10800 0 f47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9">
              <a:pos x="f22" y="f23"/>
            </a:cxn>
            <a:cxn ang="f29">
              <a:pos x="f15" y="f18"/>
            </a:cxn>
            <a:cxn ang="f29">
              <a:pos x="f24" y="f25"/>
            </a:cxn>
            <a:cxn ang="f29">
              <a:pos x="f15" y="f17"/>
            </a:cxn>
            <a:cxn ang="f29">
              <a:pos x="f22" y="f26"/>
            </a:cxn>
            <a:cxn ang="f29">
              <a:pos x="f16" y="f17"/>
            </a:cxn>
            <a:cxn ang="f29">
              <a:pos x="f27" y="f25"/>
            </a:cxn>
            <a:cxn ang="f29">
              <a:pos x="f16" y="f18"/>
            </a:cxn>
          </a:cxnLst>
          <a:rect l="f15" t="f18" r="f16" b="f17"/>
          <a:pathLst>
            <a:path w="21600" h="21600">
              <a:moveTo>
                <a:pt x="f48" y="f49"/>
              </a:moveTo>
              <a:arcTo wR="f9" hR="f9" stAng="f29" swAng="f32"/>
              <a:close/>
            </a:path>
          </a:pathLst>
        </a:custGeom>
        <a:noFill/>
        <a:ln w="9360">
          <a:solidFill>
            <a:srgbClr val="000000"/>
          </a:solidFill>
          <a:prstDash val="solid"/>
          <a:miter/>
        </a:ln>
      </xdr:spPr>
      <xdr:txBody>
        <a:bodyPr vert="horz" wrap="none" lIns="90000" tIns="46800" rIns="90000" bIns="46800" anchor="ctr" anchorCtr="0" compatLnSpc="0">
          <a:noAutofit/>
        </a:bodyPr>
        <a:lstStyle/>
        <a:p>
          <a:pPr lvl="0" rtl="0" hangingPunct="0">
            <a:buNone/>
            <a:tabLst/>
          </a:pPr>
          <a:endParaRPr lang="en-GB" sz="1200" kern="1200">
            <a:latin typeface="Times New Roman" pitchFamily="18"/>
          </a:endParaRPr>
        </a:p>
      </xdr:txBody>
    </xdr:sp>
    <xdr:clientData/>
  </xdr:oneCellAnchor>
  <xdr:oneCellAnchor>
    <xdr:from>
      <xdr:col>9</xdr:col>
      <xdr:colOff>337320</xdr:colOff>
      <xdr:row>4</xdr:row>
      <xdr:rowOff>0</xdr:rowOff>
    </xdr:from>
    <xdr:ext cx="2832120" cy="3289679"/>
    <xdr:sp macro="" textlink="">
      <xdr:nvSpPr>
        <xdr:cNvPr id="2" name="Line 4">
          <a:extLst>
            <a:ext uri="{FF2B5EF4-FFF2-40B4-BE49-F238E27FC236}">
              <a16:creationId xmlns:a16="http://schemas.microsoft.com/office/drawing/2014/main" id="{12A7D32D-2D5B-4A30-BA20-9BEA4DF64D11}"/>
            </a:ext>
          </a:extLst>
        </xdr:cNvPr>
        <xdr:cNvSpPr/>
      </xdr:nvSpPr>
      <xdr:spPr>
        <a:xfrm>
          <a:off x="4353060" y="1508760"/>
          <a:ext cx="2832120" cy="3289679"/>
        </a:xfrm>
        <a:prstGeom prst="line">
          <a:avLst/>
        </a:prstGeom>
        <a:noFill/>
        <a:ln w="9360">
          <a:solidFill>
            <a:srgbClr val="000000"/>
          </a:solidFill>
          <a:prstDash val="solid"/>
          <a:miter/>
        </a:ln>
      </xdr:spPr>
      <xdr:txBody>
        <a:bodyPr vert="horz" wrap="square" lIns="90000" tIns="46800" rIns="90000" bIns="46800" anchor="t" anchorCtr="0" compatLnSpc="0">
          <a:noAutofit/>
        </a:bodyPr>
        <a:lstStyle/>
        <a:p>
          <a:pPr lvl="0" rtl="0" hangingPunct="0">
            <a:buNone/>
            <a:tabLst/>
          </a:pPr>
          <a:endParaRPr lang="en-GB" sz="1200" kern="1200">
            <a:latin typeface="Times New Roman" pitchFamily="18"/>
          </a:endParaRPr>
        </a:p>
      </xdr:txBody>
    </xdr:sp>
    <xdr:clientData/>
  </xdr:oneCellAnchor>
  <xdr:oneCellAnchor>
    <xdr:from>
      <xdr:col>17</xdr:col>
      <xdr:colOff>336960</xdr:colOff>
      <xdr:row>4</xdr:row>
      <xdr:rowOff>0</xdr:rowOff>
    </xdr:from>
    <xdr:ext cx="2900160" cy="3279959"/>
    <xdr:sp macro="" textlink="">
      <xdr:nvSpPr>
        <xdr:cNvPr id="3" name="Line 5">
          <a:extLst>
            <a:ext uri="{FF2B5EF4-FFF2-40B4-BE49-F238E27FC236}">
              <a16:creationId xmlns:a16="http://schemas.microsoft.com/office/drawing/2014/main" id="{12CF4AEA-15B2-4FE0-B736-7C718231A0F4}"/>
            </a:ext>
          </a:extLst>
        </xdr:cNvPr>
        <xdr:cNvSpPr/>
      </xdr:nvSpPr>
      <xdr:spPr>
        <a:xfrm flipV="1">
          <a:off x="7278780" y="1508760"/>
          <a:ext cx="2900160" cy="3279959"/>
        </a:xfrm>
        <a:prstGeom prst="line">
          <a:avLst/>
        </a:prstGeom>
        <a:noFill/>
        <a:ln w="9360">
          <a:solidFill>
            <a:srgbClr val="000000"/>
          </a:solidFill>
          <a:prstDash val="solid"/>
          <a:miter/>
        </a:ln>
      </xdr:spPr>
      <xdr:txBody>
        <a:bodyPr vert="horz" wrap="square" lIns="90000" tIns="46800" rIns="90000" bIns="46800" anchor="t" anchorCtr="0" compatLnSpc="0">
          <a:noAutofit/>
        </a:bodyPr>
        <a:lstStyle/>
        <a:p>
          <a:pPr lvl="0" rtl="0" hangingPunct="0">
            <a:buNone/>
            <a:tabLst/>
          </a:pPr>
          <a:endParaRPr lang="en-GB" sz="1200" kern="1200">
            <a:latin typeface="Times New Roman" pitchFamily="18"/>
          </a:endParaRPr>
        </a:p>
      </xdr:txBody>
    </xdr:sp>
    <xdr:clientData/>
  </xdr:oneCellAnchor>
  <xdr:oneCellAnchor>
    <xdr:from>
      <xdr:col>1</xdr:col>
      <xdr:colOff>720</xdr:colOff>
      <xdr:row>12</xdr:row>
      <xdr:rowOff>196200</xdr:rowOff>
    </xdr:from>
    <xdr:ext cx="6014880" cy="1644839"/>
    <xdr:sp macro="" textlink="">
      <xdr:nvSpPr>
        <xdr:cNvPr id="6" name="Line 6">
          <a:extLst>
            <a:ext uri="{FF2B5EF4-FFF2-40B4-BE49-F238E27FC236}">
              <a16:creationId xmlns:a16="http://schemas.microsoft.com/office/drawing/2014/main" id="{1D9B5C05-5F6F-4A66-B77B-6AF0AA6B8928}"/>
            </a:ext>
          </a:extLst>
        </xdr:cNvPr>
        <xdr:cNvSpPr/>
      </xdr:nvSpPr>
      <xdr:spPr>
        <a:xfrm>
          <a:off x="884640" y="3350880"/>
          <a:ext cx="6014880" cy="1644839"/>
        </a:xfrm>
        <a:prstGeom prst="line">
          <a:avLst/>
        </a:prstGeom>
        <a:noFill/>
        <a:ln w="9360">
          <a:solidFill>
            <a:srgbClr val="000000"/>
          </a:solidFill>
          <a:prstDash val="solid"/>
          <a:miter/>
        </a:ln>
      </xdr:spPr>
      <xdr:txBody>
        <a:bodyPr vert="horz" wrap="square" lIns="90000" tIns="46800" rIns="90000" bIns="46800" anchor="t" anchorCtr="0" compatLnSpc="0">
          <a:noAutofit/>
        </a:bodyPr>
        <a:lstStyle/>
        <a:p>
          <a:pPr lvl="0" rtl="0" hangingPunct="0">
            <a:buNone/>
            <a:tabLst/>
          </a:pPr>
          <a:endParaRPr lang="en-GB" sz="1200" kern="1200">
            <a:latin typeface="Times New Roman" pitchFamily="18"/>
          </a:endParaRPr>
        </a:p>
      </xdr:txBody>
    </xdr:sp>
    <xdr:clientData/>
  </xdr:oneCellAnchor>
  <xdr:oneCellAnchor>
    <xdr:from>
      <xdr:col>1</xdr:col>
      <xdr:colOff>720</xdr:colOff>
      <xdr:row>20</xdr:row>
      <xdr:rowOff>196200</xdr:rowOff>
    </xdr:from>
    <xdr:ext cx="6014880" cy="1644479"/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183BF44-D707-4294-A4FE-1B5C74F72574}"/>
            </a:ext>
          </a:extLst>
        </xdr:cNvPr>
        <xdr:cNvSpPr/>
      </xdr:nvSpPr>
      <xdr:spPr>
        <a:xfrm flipV="1">
          <a:off x="884640" y="4996800"/>
          <a:ext cx="6014880" cy="1644479"/>
        </a:xfrm>
        <a:prstGeom prst="line">
          <a:avLst/>
        </a:prstGeom>
        <a:noFill/>
        <a:ln w="9360">
          <a:solidFill>
            <a:srgbClr val="000000"/>
          </a:solidFill>
          <a:prstDash val="solid"/>
          <a:miter/>
        </a:ln>
      </xdr:spPr>
      <xdr:txBody>
        <a:bodyPr vert="horz" wrap="square" lIns="90000" tIns="46800" rIns="90000" bIns="46800" anchor="t" anchorCtr="0" compatLnSpc="0">
          <a:noAutofit/>
        </a:bodyPr>
        <a:lstStyle/>
        <a:p>
          <a:pPr lvl="0" rtl="0" hangingPunct="0">
            <a:buNone/>
            <a:tabLst/>
          </a:pPr>
          <a:endParaRPr lang="en-GB" sz="1200" kern="1200">
            <a:latin typeface="Times New Roman" pitchFamily="18"/>
          </a:endParaRPr>
        </a:p>
      </xdr:txBody>
    </xdr:sp>
    <xdr:clientData/>
  </xdr:oneCellAnchor>
  <xdr:oneCellAnchor>
    <xdr:from>
      <xdr:col>9</xdr:col>
      <xdr:colOff>337320</xdr:colOff>
      <xdr:row>21</xdr:row>
      <xdr:rowOff>0</xdr:rowOff>
    </xdr:from>
    <xdr:ext cx="2832120" cy="3279959"/>
    <xdr:sp macro="" textlink="">
      <xdr:nvSpPr>
        <xdr:cNvPr id="11" name="Line 8">
          <a:extLst>
            <a:ext uri="{FF2B5EF4-FFF2-40B4-BE49-F238E27FC236}">
              <a16:creationId xmlns:a16="http://schemas.microsoft.com/office/drawing/2014/main" id="{DC96ECCA-E366-42E8-963E-99C8248D843A}"/>
            </a:ext>
          </a:extLst>
        </xdr:cNvPr>
        <xdr:cNvSpPr/>
      </xdr:nvSpPr>
      <xdr:spPr>
        <a:xfrm flipV="1">
          <a:off x="4353060" y="5006340"/>
          <a:ext cx="2832120" cy="3279959"/>
        </a:xfrm>
        <a:prstGeom prst="line">
          <a:avLst/>
        </a:prstGeom>
        <a:noFill/>
        <a:ln w="9360">
          <a:solidFill>
            <a:srgbClr val="000000"/>
          </a:solidFill>
          <a:prstDash val="solid"/>
          <a:miter/>
        </a:ln>
      </xdr:spPr>
      <xdr:txBody>
        <a:bodyPr vert="horz" wrap="square" lIns="90000" tIns="46800" rIns="90000" bIns="46800" anchor="t" anchorCtr="0" compatLnSpc="0">
          <a:noAutofit/>
        </a:bodyPr>
        <a:lstStyle/>
        <a:p>
          <a:pPr lvl="0" rtl="0" hangingPunct="0">
            <a:buNone/>
            <a:tabLst/>
          </a:pPr>
          <a:endParaRPr lang="en-GB" sz="1200" kern="1200">
            <a:latin typeface="Times New Roman" pitchFamily="18"/>
          </a:endParaRPr>
        </a:p>
      </xdr:txBody>
    </xdr:sp>
    <xdr:clientData/>
  </xdr:oneCellAnchor>
  <xdr:oneCellAnchor>
    <xdr:from>
      <xdr:col>17</xdr:col>
      <xdr:colOff>336960</xdr:colOff>
      <xdr:row>20</xdr:row>
      <xdr:rowOff>196200</xdr:rowOff>
    </xdr:from>
    <xdr:ext cx="2900160" cy="3299040"/>
    <xdr:sp macro="" textlink="">
      <xdr:nvSpPr>
        <xdr:cNvPr id="9" name="Line 9">
          <a:extLst>
            <a:ext uri="{FF2B5EF4-FFF2-40B4-BE49-F238E27FC236}">
              <a16:creationId xmlns:a16="http://schemas.microsoft.com/office/drawing/2014/main" id="{51DF08B0-C9E7-472F-ADD4-F6E768D63331}"/>
            </a:ext>
          </a:extLst>
        </xdr:cNvPr>
        <xdr:cNvSpPr/>
      </xdr:nvSpPr>
      <xdr:spPr>
        <a:xfrm flipH="1" flipV="1">
          <a:off x="7278780" y="4996800"/>
          <a:ext cx="2900160" cy="3299040"/>
        </a:xfrm>
        <a:prstGeom prst="line">
          <a:avLst/>
        </a:prstGeom>
        <a:noFill/>
        <a:ln w="9360">
          <a:solidFill>
            <a:srgbClr val="000000"/>
          </a:solidFill>
          <a:prstDash val="solid"/>
          <a:miter/>
        </a:ln>
      </xdr:spPr>
      <xdr:txBody>
        <a:bodyPr vert="horz" wrap="square" lIns="90000" tIns="46800" rIns="90000" bIns="46800" anchor="t" anchorCtr="0" compatLnSpc="0">
          <a:noAutofit/>
        </a:bodyPr>
        <a:lstStyle/>
        <a:p>
          <a:pPr lvl="0" rtl="0" hangingPunct="0">
            <a:buNone/>
            <a:tabLst/>
          </a:pPr>
          <a:endParaRPr lang="en-GB" sz="1200" kern="1200">
            <a:latin typeface="Times New Roman" pitchFamily="18"/>
          </a:endParaRPr>
        </a:p>
      </xdr:txBody>
    </xdr:sp>
    <xdr:clientData/>
  </xdr:oneCellAnchor>
  <xdr:oneCellAnchor>
    <xdr:from>
      <xdr:col>18</xdr:col>
      <xdr:colOff>8640</xdr:colOff>
      <xdr:row>20</xdr:row>
      <xdr:rowOff>196200</xdr:rowOff>
    </xdr:from>
    <xdr:ext cx="5765760" cy="1644479"/>
    <xdr:sp macro="" textlink="">
      <xdr:nvSpPr>
        <xdr:cNvPr id="10" name="Line 10">
          <a:extLst>
            <a:ext uri="{FF2B5EF4-FFF2-40B4-BE49-F238E27FC236}">
              <a16:creationId xmlns:a16="http://schemas.microsoft.com/office/drawing/2014/main" id="{C1366DC1-0C4E-4A15-B193-02F2B61BB3C3}"/>
            </a:ext>
          </a:extLst>
        </xdr:cNvPr>
        <xdr:cNvSpPr/>
      </xdr:nvSpPr>
      <xdr:spPr>
        <a:xfrm flipH="1" flipV="1">
          <a:off x="7316220" y="4996800"/>
          <a:ext cx="5765760" cy="1644479"/>
        </a:xfrm>
        <a:prstGeom prst="line">
          <a:avLst/>
        </a:prstGeom>
        <a:noFill/>
        <a:ln w="9360">
          <a:solidFill>
            <a:srgbClr val="000000"/>
          </a:solidFill>
          <a:prstDash val="solid"/>
          <a:miter/>
        </a:ln>
      </xdr:spPr>
      <xdr:txBody>
        <a:bodyPr vert="horz" wrap="square" lIns="90000" tIns="46800" rIns="90000" bIns="46800" anchor="t" anchorCtr="0" compatLnSpc="0">
          <a:noAutofit/>
        </a:bodyPr>
        <a:lstStyle/>
        <a:p>
          <a:pPr lvl="0" rtl="0" hangingPunct="0">
            <a:buNone/>
            <a:tabLst/>
          </a:pPr>
          <a:endParaRPr lang="en-GB" sz="1200" kern="1200">
            <a:latin typeface="Times New Roman" pitchFamily="18"/>
          </a:endParaRPr>
        </a:p>
      </xdr:txBody>
    </xdr:sp>
    <xdr:clientData/>
  </xdr:oneCellAnchor>
  <xdr:oneCellAnchor>
    <xdr:from>
      <xdr:col>18</xdr:col>
      <xdr:colOff>8640</xdr:colOff>
      <xdr:row>12</xdr:row>
      <xdr:rowOff>196200</xdr:rowOff>
    </xdr:from>
    <xdr:ext cx="5791680" cy="1644839"/>
    <xdr:sp macro="" textlink="">
      <xdr:nvSpPr>
        <xdr:cNvPr id="7" name="Line 11">
          <a:extLst>
            <a:ext uri="{FF2B5EF4-FFF2-40B4-BE49-F238E27FC236}">
              <a16:creationId xmlns:a16="http://schemas.microsoft.com/office/drawing/2014/main" id="{78185675-04B2-4DA9-9871-23CADAC8B770}"/>
            </a:ext>
          </a:extLst>
        </xdr:cNvPr>
        <xdr:cNvSpPr/>
      </xdr:nvSpPr>
      <xdr:spPr>
        <a:xfrm flipH="1">
          <a:off x="7316220" y="3350880"/>
          <a:ext cx="5791680" cy="1644839"/>
        </a:xfrm>
        <a:prstGeom prst="line">
          <a:avLst/>
        </a:prstGeom>
        <a:noFill/>
        <a:ln w="9360">
          <a:solidFill>
            <a:srgbClr val="000000"/>
          </a:solidFill>
          <a:prstDash val="solid"/>
          <a:miter/>
        </a:ln>
      </xdr:spPr>
      <xdr:txBody>
        <a:bodyPr vert="horz" wrap="square" lIns="90000" tIns="46800" rIns="90000" bIns="46800" anchor="t" anchorCtr="0" compatLnSpc="0">
          <a:noAutofit/>
        </a:bodyPr>
        <a:lstStyle/>
        <a:p>
          <a:pPr lvl="0" rtl="0" hangingPunct="0">
            <a:buNone/>
            <a:tabLst/>
          </a:pPr>
          <a:endParaRPr lang="en-GB" sz="1200" kern="1200">
            <a:latin typeface="Times New Roman" pitchFamily="18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24"/>
  <sheetViews>
    <sheetView tabSelected="1" workbookViewId="0"/>
  </sheetViews>
  <sheetFormatPr defaultRowHeight="18" customHeight="1"/>
  <cols>
    <col min="1" max="2" width="6.796875" style="1" customWidth="1"/>
    <col min="3" max="5" width="1.3984375" style="1" customWidth="1"/>
    <col min="6" max="26" width="5.5" style="1" customWidth="1"/>
    <col min="27" max="29" width="4.3984375" style="1" customWidth="1"/>
    <col min="30" max="30" width="5" style="1" customWidth="1"/>
    <col min="31" max="257" width="4.3984375" style="1" customWidth="1"/>
    <col min="258" max="1024" width="4.3984375" style="3" customWidth="1"/>
  </cols>
  <sheetData>
    <row r="1" spans="2:30" ht="18" customHeight="1">
      <c r="B1" s="2">
        <v>1</v>
      </c>
    </row>
    <row r="2" spans="2:30" ht="18" customHeight="1"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2:30" ht="20.399999999999999" customHeight="1">
      <c r="E3" s="5"/>
      <c r="F3" s="6">
        <f t="shared" ref="F3:F21" si="0">F4+$B$1</f>
        <v>43118</v>
      </c>
      <c r="G3" s="4">
        <f t="shared" ref="G3:Z3" si="1">F3+$B$1</f>
        <v>43119</v>
      </c>
      <c r="H3" s="4">
        <f t="shared" si="1"/>
        <v>43120</v>
      </c>
      <c r="I3" s="4">
        <f t="shared" si="1"/>
        <v>43121</v>
      </c>
      <c r="J3" s="4">
        <f t="shared" si="1"/>
        <v>43122</v>
      </c>
      <c r="K3" s="7">
        <f t="shared" si="1"/>
        <v>43123</v>
      </c>
      <c r="L3" s="4">
        <f t="shared" si="1"/>
        <v>43124</v>
      </c>
      <c r="M3" s="4">
        <f t="shared" si="1"/>
        <v>43125</v>
      </c>
      <c r="N3" s="4">
        <f t="shared" si="1"/>
        <v>43126</v>
      </c>
      <c r="O3" s="4">
        <f t="shared" si="1"/>
        <v>43127</v>
      </c>
      <c r="P3" s="8">
        <f t="shared" si="1"/>
        <v>43128</v>
      </c>
      <c r="Q3" s="4">
        <f t="shared" si="1"/>
        <v>43129</v>
      </c>
      <c r="R3" s="4">
        <f t="shared" si="1"/>
        <v>43130</v>
      </c>
      <c r="S3" s="4">
        <f t="shared" si="1"/>
        <v>43131</v>
      </c>
      <c r="T3" s="4">
        <f t="shared" si="1"/>
        <v>43132</v>
      </c>
      <c r="U3" s="7">
        <f t="shared" si="1"/>
        <v>43133</v>
      </c>
      <c r="V3" s="4">
        <f t="shared" si="1"/>
        <v>43134</v>
      </c>
      <c r="W3" s="4">
        <f t="shared" si="1"/>
        <v>43135</v>
      </c>
      <c r="X3" s="4">
        <f t="shared" si="1"/>
        <v>43136</v>
      </c>
      <c r="Y3" s="4">
        <f t="shared" si="1"/>
        <v>43137</v>
      </c>
      <c r="Z3" s="9">
        <f t="shared" si="1"/>
        <v>43138</v>
      </c>
      <c r="AA3" s="10"/>
    </row>
    <row r="4" spans="2:30" ht="20.399999999999999" customHeight="1">
      <c r="E4" s="5"/>
      <c r="F4" s="5">
        <f t="shared" si="0"/>
        <v>43117</v>
      </c>
      <c r="G4" s="6">
        <f t="shared" ref="G4:G20" si="2">G5+$B$1</f>
        <v>43044</v>
      </c>
      <c r="H4" s="4">
        <f t="shared" ref="H4:Y4" si="3">G4+$B$1</f>
        <v>43045</v>
      </c>
      <c r="I4" s="4">
        <f t="shared" si="3"/>
        <v>43046</v>
      </c>
      <c r="J4" s="4">
        <f t="shared" si="3"/>
        <v>43047</v>
      </c>
      <c r="K4" s="4">
        <f t="shared" si="3"/>
        <v>43048</v>
      </c>
      <c r="L4" s="4">
        <f t="shared" si="3"/>
        <v>43049</v>
      </c>
      <c r="M4" s="4">
        <f t="shared" si="3"/>
        <v>43050</v>
      </c>
      <c r="N4" s="4">
        <f t="shared" si="3"/>
        <v>43051</v>
      </c>
      <c r="O4" s="4">
        <f t="shared" si="3"/>
        <v>43052</v>
      </c>
      <c r="P4" s="8">
        <f t="shared" si="3"/>
        <v>43053</v>
      </c>
      <c r="Q4" s="4">
        <f t="shared" si="3"/>
        <v>43054</v>
      </c>
      <c r="R4" s="4">
        <f t="shared" si="3"/>
        <v>43055</v>
      </c>
      <c r="S4" s="4">
        <f t="shared" si="3"/>
        <v>43056</v>
      </c>
      <c r="T4" s="4">
        <f t="shared" si="3"/>
        <v>43057</v>
      </c>
      <c r="U4" s="4">
        <f t="shared" si="3"/>
        <v>43058</v>
      </c>
      <c r="V4" s="4">
        <f t="shared" si="3"/>
        <v>43059</v>
      </c>
      <c r="W4" s="4">
        <f t="shared" si="3"/>
        <v>43060</v>
      </c>
      <c r="X4" s="4">
        <f t="shared" si="3"/>
        <v>43061</v>
      </c>
      <c r="Y4" s="9">
        <f t="shared" si="3"/>
        <v>43062</v>
      </c>
      <c r="Z4" s="5">
        <f t="shared" ref="Z4:Z23" si="4">Z3+$B$1</f>
        <v>43139</v>
      </c>
    </row>
    <row r="5" spans="2:30" ht="20.399999999999999" customHeight="1">
      <c r="E5" s="5"/>
      <c r="F5" s="5">
        <f t="shared" si="0"/>
        <v>43116</v>
      </c>
      <c r="G5" s="5">
        <f t="shared" si="2"/>
        <v>43043</v>
      </c>
      <c r="H5" s="6">
        <f t="shared" ref="H5:H19" si="5">H6+$B$1</f>
        <v>42978</v>
      </c>
      <c r="I5" s="4">
        <f t="shared" ref="I5:X5" si="6">H5+$B$1</f>
        <v>42979</v>
      </c>
      <c r="J5" s="4">
        <f t="shared" si="6"/>
        <v>42980</v>
      </c>
      <c r="K5" s="4">
        <f t="shared" si="6"/>
        <v>42981</v>
      </c>
      <c r="L5" s="7">
        <f t="shared" si="6"/>
        <v>42982</v>
      </c>
      <c r="M5" s="4">
        <f t="shared" si="6"/>
        <v>42983</v>
      </c>
      <c r="N5" s="4">
        <f t="shared" si="6"/>
        <v>42984</v>
      </c>
      <c r="O5" s="4">
        <f t="shared" si="6"/>
        <v>42985</v>
      </c>
      <c r="P5" s="8">
        <f t="shared" si="6"/>
        <v>42986</v>
      </c>
      <c r="Q5" s="4">
        <f t="shared" si="6"/>
        <v>42987</v>
      </c>
      <c r="R5" s="4">
        <f t="shared" si="6"/>
        <v>42988</v>
      </c>
      <c r="S5" s="4">
        <f t="shared" si="6"/>
        <v>42989</v>
      </c>
      <c r="T5" s="7">
        <f t="shared" si="6"/>
        <v>42990</v>
      </c>
      <c r="U5" s="4">
        <f t="shared" si="6"/>
        <v>42991</v>
      </c>
      <c r="V5" s="4">
        <f t="shared" si="6"/>
        <v>42992</v>
      </c>
      <c r="W5" s="4">
        <f t="shared" si="6"/>
        <v>42993</v>
      </c>
      <c r="X5" s="9">
        <f t="shared" si="6"/>
        <v>42994</v>
      </c>
      <c r="Y5" s="5">
        <f t="shared" ref="Y5:Y22" si="7">Y4+$B$1</f>
        <v>43063</v>
      </c>
      <c r="Z5" s="5">
        <f t="shared" si="4"/>
        <v>43140</v>
      </c>
    </row>
    <row r="6" spans="2:30" ht="20.399999999999999" customHeight="1">
      <c r="E6" s="5"/>
      <c r="F6" s="5">
        <f t="shared" si="0"/>
        <v>43115</v>
      </c>
      <c r="G6" s="5">
        <f t="shared" si="2"/>
        <v>43042</v>
      </c>
      <c r="H6" s="5">
        <f t="shared" si="5"/>
        <v>42977</v>
      </c>
      <c r="I6" s="6">
        <f t="shared" ref="I6:I18" si="8">I7+$B$1</f>
        <v>42920</v>
      </c>
      <c r="J6" s="4">
        <f t="shared" ref="J6:W6" si="9">I6+$B$1</f>
        <v>42921</v>
      </c>
      <c r="K6" s="4">
        <f t="shared" si="9"/>
        <v>42922</v>
      </c>
      <c r="L6" s="4">
        <f t="shared" si="9"/>
        <v>42923</v>
      </c>
      <c r="M6" s="4">
        <f t="shared" si="9"/>
        <v>42924</v>
      </c>
      <c r="N6" s="4">
        <f t="shared" si="9"/>
        <v>42925</v>
      </c>
      <c r="O6" s="4">
        <f t="shared" si="9"/>
        <v>42926</v>
      </c>
      <c r="P6" s="8">
        <f t="shared" si="9"/>
        <v>42927</v>
      </c>
      <c r="Q6" s="4">
        <f t="shared" si="9"/>
        <v>42928</v>
      </c>
      <c r="R6" s="4">
        <f t="shared" si="9"/>
        <v>42929</v>
      </c>
      <c r="S6" s="4">
        <f t="shared" si="9"/>
        <v>42930</v>
      </c>
      <c r="T6" s="4">
        <f t="shared" si="9"/>
        <v>42931</v>
      </c>
      <c r="U6" s="4">
        <f t="shared" si="9"/>
        <v>42932</v>
      </c>
      <c r="V6" s="4">
        <f t="shared" si="9"/>
        <v>42933</v>
      </c>
      <c r="W6" s="9">
        <f t="shared" si="9"/>
        <v>42934</v>
      </c>
      <c r="X6" s="11">
        <f t="shared" ref="X6:X21" si="10">X5+$B$1</f>
        <v>42995</v>
      </c>
      <c r="Y6" s="5">
        <f t="shared" si="7"/>
        <v>43064</v>
      </c>
      <c r="Z6" s="5">
        <f t="shared" si="4"/>
        <v>43141</v>
      </c>
    </row>
    <row r="7" spans="2:30" ht="20.399999999999999" customHeight="1">
      <c r="E7" s="5"/>
      <c r="F7" s="5">
        <f t="shared" si="0"/>
        <v>43114</v>
      </c>
      <c r="G7" s="5">
        <f t="shared" si="2"/>
        <v>43041</v>
      </c>
      <c r="H7" s="5">
        <f t="shared" si="5"/>
        <v>42976</v>
      </c>
      <c r="I7" s="5">
        <f t="shared" si="8"/>
        <v>42919</v>
      </c>
      <c r="J7" s="6">
        <f t="shared" ref="J7:J17" si="11">J8+$B$1</f>
        <v>42870</v>
      </c>
      <c r="K7" s="4">
        <f t="shared" ref="K7:V7" si="12">J7+$B$1</f>
        <v>42871</v>
      </c>
      <c r="L7" s="4">
        <f t="shared" si="12"/>
        <v>42872</v>
      </c>
      <c r="M7" s="7">
        <f t="shared" si="12"/>
        <v>42873</v>
      </c>
      <c r="N7" s="4">
        <f t="shared" si="12"/>
        <v>42874</v>
      </c>
      <c r="O7" s="4">
        <f t="shared" si="12"/>
        <v>42875</v>
      </c>
      <c r="P7" s="8">
        <f t="shared" si="12"/>
        <v>42876</v>
      </c>
      <c r="Q7" s="4">
        <f t="shared" si="12"/>
        <v>42877</v>
      </c>
      <c r="R7" s="4">
        <f t="shared" si="12"/>
        <v>42878</v>
      </c>
      <c r="S7" s="7">
        <f t="shared" si="12"/>
        <v>42879</v>
      </c>
      <c r="T7" s="4">
        <f t="shared" si="12"/>
        <v>42880</v>
      </c>
      <c r="U7" s="4">
        <f t="shared" si="12"/>
        <v>42881</v>
      </c>
      <c r="V7" s="9">
        <f t="shared" si="12"/>
        <v>42882</v>
      </c>
      <c r="W7" s="5">
        <f t="shared" ref="W7:W20" si="13">W6+$B$1</f>
        <v>42935</v>
      </c>
      <c r="X7" s="5">
        <f t="shared" si="10"/>
        <v>42996</v>
      </c>
      <c r="Y7" s="5">
        <f t="shared" si="7"/>
        <v>43065</v>
      </c>
      <c r="Z7" s="12">
        <f t="shared" si="4"/>
        <v>43142</v>
      </c>
      <c r="AD7" s="2"/>
    </row>
    <row r="8" spans="2:30" ht="20.399999999999999" customHeight="1">
      <c r="E8" s="5"/>
      <c r="F8" s="12">
        <f t="shared" si="0"/>
        <v>43113</v>
      </c>
      <c r="G8" s="5">
        <f t="shared" si="2"/>
        <v>43040</v>
      </c>
      <c r="H8" s="5">
        <f t="shared" si="5"/>
        <v>42975</v>
      </c>
      <c r="I8" s="5">
        <f t="shared" si="8"/>
        <v>42918</v>
      </c>
      <c r="J8" s="5">
        <f t="shared" si="11"/>
        <v>42869</v>
      </c>
      <c r="K8" s="6">
        <f t="shared" ref="K8:K16" si="14">K9+$B$1</f>
        <v>42828</v>
      </c>
      <c r="L8" s="4">
        <f t="shared" ref="L8:U8" si="15">K8+$B$1</f>
        <v>42829</v>
      </c>
      <c r="M8" s="4">
        <f t="shared" si="15"/>
        <v>42830</v>
      </c>
      <c r="N8" s="4">
        <f t="shared" si="15"/>
        <v>42831</v>
      </c>
      <c r="O8" s="4">
        <f t="shared" si="15"/>
        <v>42832</v>
      </c>
      <c r="P8" s="8">
        <f t="shared" si="15"/>
        <v>42833</v>
      </c>
      <c r="Q8" s="4">
        <f t="shared" si="15"/>
        <v>42834</v>
      </c>
      <c r="R8" s="4">
        <f t="shared" si="15"/>
        <v>42835</v>
      </c>
      <c r="S8" s="4">
        <f t="shared" si="15"/>
        <v>42836</v>
      </c>
      <c r="T8" s="4">
        <f t="shared" si="15"/>
        <v>42837</v>
      </c>
      <c r="U8" s="9">
        <f t="shared" si="15"/>
        <v>42838</v>
      </c>
      <c r="V8" s="5">
        <f t="shared" ref="V8:V19" si="16">V7+$B$1</f>
        <v>42883</v>
      </c>
      <c r="W8" s="5">
        <f t="shared" si="13"/>
        <v>42936</v>
      </c>
      <c r="X8" s="5">
        <f t="shared" si="10"/>
        <v>42997</v>
      </c>
      <c r="Y8" s="5">
        <f t="shared" si="7"/>
        <v>43066</v>
      </c>
      <c r="Z8" s="5">
        <f t="shared" si="4"/>
        <v>43143</v>
      </c>
      <c r="AD8" s="2"/>
    </row>
    <row r="9" spans="2:30" ht="20.399999999999999" customHeight="1">
      <c r="B9" s="2"/>
      <c r="E9" s="5"/>
      <c r="F9" s="5">
        <f t="shared" si="0"/>
        <v>43112</v>
      </c>
      <c r="G9" s="5">
        <f t="shared" si="2"/>
        <v>43039</v>
      </c>
      <c r="H9" s="12">
        <f t="shared" si="5"/>
        <v>42974</v>
      </c>
      <c r="I9" s="5">
        <f t="shared" si="8"/>
        <v>42917</v>
      </c>
      <c r="J9" s="5">
        <f t="shared" si="11"/>
        <v>42868</v>
      </c>
      <c r="K9" s="5">
        <f t="shared" si="14"/>
        <v>42827</v>
      </c>
      <c r="L9" s="6">
        <f t="shared" ref="L9:L15" si="17">L10+$B$1</f>
        <v>42794</v>
      </c>
      <c r="M9" s="4">
        <f t="shared" ref="M9:T9" si="18">L9+$B$1</f>
        <v>42795</v>
      </c>
      <c r="N9" s="7">
        <f t="shared" si="18"/>
        <v>42796</v>
      </c>
      <c r="O9" s="4">
        <f t="shared" si="18"/>
        <v>42797</v>
      </c>
      <c r="P9" s="8">
        <f t="shared" si="18"/>
        <v>42798</v>
      </c>
      <c r="Q9" s="4">
        <f t="shared" si="18"/>
        <v>42799</v>
      </c>
      <c r="R9" s="7">
        <f t="shared" si="18"/>
        <v>42800</v>
      </c>
      <c r="S9" s="4">
        <f t="shared" si="18"/>
        <v>42801</v>
      </c>
      <c r="T9" s="9">
        <f t="shared" si="18"/>
        <v>42802</v>
      </c>
      <c r="U9" s="5">
        <f t="shared" ref="U9:U18" si="19">U8+$B$1</f>
        <v>42839</v>
      </c>
      <c r="V9" s="5">
        <f t="shared" si="16"/>
        <v>42884</v>
      </c>
      <c r="W9" s="5">
        <f t="shared" si="13"/>
        <v>42937</v>
      </c>
      <c r="X9" s="12">
        <f t="shared" si="10"/>
        <v>42998</v>
      </c>
      <c r="Y9" s="5">
        <f t="shared" si="7"/>
        <v>43067</v>
      </c>
      <c r="Z9" s="5">
        <f t="shared" si="4"/>
        <v>43144</v>
      </c>
    </row>
    <row r="10" spans="2:30" ht="20.399999999999999" customHeight="1">
      <c r="E10" s="5"/>
      <c r="F10" s="5">
        <f t="shared" si="0"/>
        <v>43111</v>
      </c>
      <c r="G10" s="5">
        <f t="shared" si="2"/>
        <v>43038</v>
      </c>
      <c r="H10" s="5">
        <f t="shared" si="5"/>
        <v>42973</v>
      </c>
      <c r="I10" s="5">
        <f t="shared" si="8"/>
        <v>42916</v>
      </c>
      <c r="J10" s="12">
        <f t="shared" si="11"/>
        <v>42867</v>
      </c>
      <c r="K10" s="5">
        <f t="shared" si="14"/>
        <v>42826</v>
      </c>
      <c r="L10" s="5">
        <f t="shared" si="17"/>
        <v>42793</v>
      </c>
      <c r="M10" s="6">
        <f>M11+B1</f>
        <v>42768</v>
      </c>
      <c r="N10" s="4">
        <f t="shared" ref="N10:S10" si="20">M10+$B$1</f>
        <v>42769</v>
      </c>
      <c r="O10" s="4">
        <f t="shared" si="20"/>
        <v>42770</v>
      </c>
      <c r="P10" s="8">
        <f t="shared" si="20"/>
        <v>42771</v>
      </c>
      <c r="Q10" s="4">
        <f t="shared" si="20"/>
        <v>42772</v>
      </c>
      <c r="R10" s="4">
        <f t="shared" si="20"/>
        <v>42773</v>
      </c>
      <c r="S10" s="9">
        <f t="shared" si="20"/>
        <v>42774</v>
      </c>
      <c r="T10" s="13">
        <f t="shared" ref="T10:T17" si="21">T9+$B$1</f>
        <v>42803</v>
      </c>
      <c r="U10" s="5">
        <f t="shared" si="19"/>
        <v>42840</v>
      </c>
      <c r="V10" s="12">
        <f t="shared" si="16"/>
        <v>42885</v>
      </c>
      <c r="W10" s="5">
        <f t="shared" si="13"/>
        <v>42938</v>
      </c>
      <c r="X10" s="5">
        <f t="shared" si="10"/>
        <v>42999</v>
      </c>
      <c r="Y10" s="5">
        <f t="shared" si="7"/>
        <v>43068</v>
      </c>
      <c r="Z10" s="5">
        <f t="shared" si="4"/>
        <v>43145</v>
      </c>
    </row>
    <row r="11" spans="2:30" ht="20.399999999999999" customHeight="1">
      <c r="E11" s="5"/>
      <c r="F11" s="5">
        <f t="shared" si="0"/>
        <v>43110</v>
      </c>
      <c r="G11" s="5">
        <f t="shared" si="2"/>
        <v>43037</v>
      </c>
      <c r="H11" s="5">
        <f t="shared" si="5"/>
        <v>42972</v>
      </c>
      <c r="I11" s="5">
        <f t="shared" si="8"/>
        <v>42915</v>
      </c>
      <c r="J11" s="5">
        <f t="shared" si="11"/>
        <v>42866</v>
      </c>
      <c r="K11" s="5">
        <f t="shared" si="14"/>
        <v>42825</v>
      </c>
      <c r="L11" s="12">
        <f t="shared" si="17"/>
        <v>42792</v>
      </c>
      <c r="M11" s="5">
        <f>M12+B1</f>
        <v>42767</v>
      </c>
      <c r="N11" s="6">
        <f>N12+B1</f>
        <v>42750</v>
      </c>
      <c r="O11" s="4">
        <f>N11+B1</f>
        <v>42751</v>
      </c>
      <c r="P11" s="8">
        <f>O11+B1</f>
        <v>42752</v>
      </c>
      <c r="Q11" s="4">
        <f>P11+B1</f>
        <v>42753</v>
      </c>
      <c r="R11" s="9">
        <f>Q11+B1</f>
        <v>42754</v>
      </c>
      <c r="S11" s="13">
        <f t="shared" ref="S11:S16" si="22">S10+$B$1</f>
        <v>42775</v>
      </c>
      <c r="T11" s="14">
        <f t="shared" si="21"/>
        <v>42804</v>
      </c>
      <c r="U11" s="5">
        <f t="shared" si="19"/>
        <v>42841</v>
      </c>
      <c r="V11" s="5">
        <f t="shared" si="16"/>
        <v>42886</v>
      </c>
      <c r="W11" s="5">
        <f t="shared" si="13"/>
        <v>42939</v>
      </c>
      <c r="X11" s="5">
        <f t="shared" si="10"/>
        <v>43000</v>
      </c>
      <c r="Y11" s="5">
        <f t="shared" si="7"/>
        <v>43069</v>
      </c>
      <c r="Z11" s="5">
        <f t="shared" si="4"/>
        <v>43146</v>
      </c>
    </row>
    <row r="12" spans="2:30" ht="20.399999999999999" customHeight="1">
      <c r="E12" s="5"/>
      <c r="F12" s="5">
        <f t="shared" si="0"/>
        <v>43109</v>
      </c>
      <c r="G12" s="5">
        <f t="shared" si="2"/>
        <v>43036</v>
      </c>
      <c r="H12" s="5">
        <f t="shared" si="5"/>
        <v>42971</v>
      </c>
      <c r="I12" s="5">
        <f t="shared" si="8"/>
        <v>42914</v>
      </c>
      <c r="J12" s="5">
        <f t="shared" si="11"/>
        <v>42865</v>
      </c>
      <c r="K12" s="5">
        <f t="shared" si="14"/>
        <v>42824</v>
      </c>
      <c r="L12" s="5">
        <f t="shared" si="17"/>
        <v>42791</v>
      </c>
      <c r="M12" s="5">
        <f>M13+B1</f>
        <v>42766</v>
      </c>
      <c r="N12" s="5">
        <f>N13+B1</f>
        <v>42749</v>
      </c>
      <c r="O12" s="6">
        <f>O13+B1</f>
        <v>42740</v>
      </c>
      <c r="P12" s="8">
        <f>O12+B1</f>
        <v>42741</v>
      </c>
      <c r="Q12" s="9">
        <f>P12+B1</f>
        <v>42742</v>
      </c>
      <c r="R12" s="13">
        <f>R11+B1</f>
        <v>42755</v>
      </c>
      <c r="S12" s="13">
        <f t="shared" si="22"/>
        <v>42776</v>
      </c>
      <c r="T12" s="13">
        <f t="shared" si="21"/>
        <v>42805</v>
      </c>
      <c r="U12" s="5">
        <f t="shared" si="19"/>
        <v>42842</v>
      </c>
      <c r="V12" s="5">
        <f t="shared" si="16"/>
        <v>42887</v>
      </c>
      <c r="W12" s="5">
        <f t="shared" si="13"/>
        <v>42940</v>
      </c>
      <c r="X12" s="5">
        <f t="shared" si="10"/>
        <v>43001</v>
      </c>
      <c r="Y12" s="5">
        <f t="shared" si="7"/>
        <v>43070</v>
      </c>
      <c r="Z12" s="5">
        <f t="shared" si="4"/>
        <v>43147</v>
      </c>
    </row>
    <row r="13" spans="2:30" ht="20.399999999999999" customHeight="1">
      <c r="B13" s="2"/>
      <c r="E13" s="5"/>
      <c r="F13" s="15">
        <f t="shared" si="0"/>
        <v>43108</v>
      </c>
      <c r="G13" s="15">
        <f t="shared" si="2"/>
        <v>43035</v>
      </c>
      <c r="H13" s="15">
        <f t="shared" si="5"/>
        <v>42970</v>
      </c>
      <c r="I13" s="15">
        <f t="shared" si="8"/>
        <v>42913</v>
      </c>
      <c r="J13" s="15">
        <f t="shared" si="11"/>
        <v>42864</v>
      </c>
      <c r="K13" s="15">
        <f t="shared" si="14"/>
        <v>42823</v>
      </c>
      <c r="L13" s="15">
        <f t="shared" si="17"/>
        <v>42790</v>
      </c>
      <c r="M13" s="15">
        <f>M14+B1</f>
        <v>42765</v>
      </c>
      <c r="N13" s="15">
        <f>N14+B1</f>
        <v>42748</v>
      </c>
      <c r="O13" s="8">
        <f>P13+B1</f>
        <v>42739</v>
      </c>
      <c r="P13" s="16">
        <v>42738</v>
      </c>
      <c r="Q13" s="17">
        <f>Q12+B1</f>
        <v>42743</v>
      </c>
      <c r="R13" s="17">
        <f>R12+B1</f>
        <v>42756</v>
      </c>
      <c r="S13" s="17">
        <f t="shared" si="22"/>
        <v>42777</v>
      </c>
      <c r="T13" s="15">
        <f t="shared" si="21"/>
        <v>42806</v>
      </c>
      <c r="U13" s="15">
        <f t="shared" si="19"/>
        <v>42843</v>
      </c>
      <c r="V13" s="15">
        <f t="shared" si="16"/>
        <v>42888</v>
      </c>
      <c r="W13" s="15">
        <f t="shared" si="13"/>
        <v>42941</v>
      </c>
      <c r="X13" s="15">
        <f t="shared" si="10"/>
        <v>43002</v>
      </c>
      <c r="Y13" s="15">
        <f t="shared" si="7"/>
        <v>43071</v>
      </c>
      <c r="Z13" s="15">
        <f t="shared" si="4"/>
        <v>43148</v>
      </c>
    </row>
    <row r="14" spans="2:30" ht="20.399999999999999" customHeight="1">
      <c r="E14" s="5"/>
      <c r="F14" s="5">
        <f t="shared" si="0"/>
        <v>43107</v>
      </c>
      <c r="G14" s="5">
        <f t="shared" si="2"/>
        <v>43034</v>
      </c>
      <c r="H14" s="5">
        <f t="shared" si="5"/>
        <v>42969</v>
      </c>
      <c r="I14" s="5">
        <f t="shared" si="8"/>
        <v>42912</v>
      </c>
      <c r="J14" s="5">
        <f t="shared" si="11"/>
        <v>42863</v>
      </c>
      <c r="K14" s="5">
        <f t="shared" si="14"/>
        <v>42822</v>
      </c>
      <c r="L14" s="5">
        <f t="shared" si="17"/>
        <v>42789</v>
      </c>
      <c r="M14" s="5">
        <f>M15+B1</f>
        <v>42764</v>
      </c>
      <c r="N14" s="4">
        <f>O14+B1</f>
        <v>42747</v>
      </c>
      <c r="O14" s="18">
        <f>P14+B1</f>
        <v>42746</v>
      </c>
      <c r="P14" s="19">
        <f>Q14+B1</f>
        <v>42745</v>
      </c>
      <c r="Q14" s="20">
        <f>Q13+B1</f>
        <v>42744</v>
      </c>
      <c r="R14" s="13">
        <f>R13+B1</f>
        <v>42757</v>
      </c>
      <c r="S14" s="13">
        <f t="shared" si="22"/>
        <v>42778</v>
      </c>
      <c r="T14" s="5">
        <f t="shared" si="21"/>
        <v>42807</v>
      </c>
      <c r="U14" s="5">
        <f t="shared" si="19"/>
        <v>42844</v>
      </c>
      <c r="V14" s="5">
        <f t="shared" si="16"/>
        <v>42889</v>
      </c>
      <c r="W14" s="5">
        <f t="shared" si="13"/>
        <v>42942</v>
      </c>
      <c r="X14" s="5">
        <f t="shared" si="10"/>
        <v>43003</v>
      </c>
      <c r="Y14" s="5">
        <f t="shared" si="7"/>
        <v>43072</v>
      </c>
      <c r="Z14" s="5">
        <f t="shared" si="4"/>
        <v>43149</v>
      </c>
    </row>
    <row r="15" spans="2:30" ht="20.399999999999999" customHeight="1">
      <c r="E15" s="5"/>
      <c r="F15" s="5">
        <f t="shared" si="0"/>
        <v>43106</v>
      </c>
      <c r="G15" s="5">
        <f t="shared" si="2"/>
        <v>43033</v>
      </c>
      <c r="H15" s="5">
        <f t="shared" si="5"/>
        <v>42968</v>
      </c>
      <c r="I15" s="5">
        <f t="shared" si="8"/>
        <v>42911</v>
      </c>
      <c r="J15" s="5">
        <f t="shared" si="11"/>
        <v>42862</v>
      </c>
      <c r="K15" s="5">
        <f t="shared" si="14"/>
        <v>42821</v>
      </c>
      <c r="L15" s="12">
        <f t="shared" si="17"/>
        <v>42788</v>
      </c>
      <c r="M15" s="4">
        <f>N15+B1</f>
        <v>42763</v>
      </c>
      <c r="N15" s="18">
        <f>O15+B1</f>
        <v>42762</v>
      </c>
      <c r="O15" s="21">
        <f>P15+B1</f>
        <v>42761</v>
      </c>
      <c r="P15" s="19">
        <f>Q15+B1</f>
        <v>42760</v>
      </c>
      <c r="Q15" s="21">
        <f>R15+B1</f>
        <v>42759</v>
      </c>
      <c r="R15" s="20">
        <f>R14+B1</f>
        <v>42758</v>
      </c>
      <c r="S15" s="13">
        <f t="shared" si="22"/>
        <v>42779</v>
      </c>
      <c r="T15" s="12">
        <f t="shared" si="21"/>
        <v>42808</v>
      </c>
      <c r="U15" s="5">
        <f t="shared" si="19"/>
        <v>42845</v>
      </c>
      <c r="V15" s="5">
        <f t="shared" si="16"/>
        <v>42890</v>
      </c>
      <c r="W15" s="5">
        <f t="shared" si="13"/>
        <v>42943</v>
      </c>
      <c r="X15" s="5">
        <f t="shared" si="10"/>
        <v>43004</v>
      </c>
      <c r="Y15" s="5">
        <f t="shared" si="7"/>
        <v>43073</v>
      </c>
      <c r="Z15" s="5">
        <f t="shared" si="4"/>
        <v>43150</v>
      </c>
    </row>
    <row r="16" spans="2:30" ht="20.399999999999999" customHeight="1">
      <c r="E16" s="5"/>
      <c r="F16" s="5">
        <f t="shared" si="0"/>
        <v>43105</v>
      </c>
      <c r="G16" s="5">
        <f t="shared" si="2"/>
        <v>43032</v>
      </c>
      <c r="H16" s="5">
        <f t="shared" si="5"/>
        <v>42967</v>
      </c>
      <c r="I16" s="5">
        <f t="shared" si="8"/>
        <v>42910</v>
      </c>
      <c r="J16" s="12">
        <f t="shared" si="11"/>
        <v>42861</v>
      </c>
      <c r="K16" s="5">
        <f t="shared" si="14"/>
        <v>42820</v>
      </c>
      <c r="L16" s="4">
        <f t="shared" ref="L16:R23" si="23">M16+$B$1</f>
        <v>42787</v>
      </c>
      <c r="M16" s="18">
        <f t="shared" si="23"/>
        <v>42786</v>
      </c>
      <c r="N16" s="21">
        <f t="shared" si="23"/>
        <v>42785</v>
      </c>
      <c r="O16" s="21">
        <f t="shared" si="23"/>
        <v>42784</v>
      </c>
      <c r="P16" s="19">
        <f t="shared" si="23"/>
        <v>42783</v>
      </c>
      <c r="Q16" s="21">
        <f t="shared" si="23"/>
        <v>42782</v>
      </c>
      <c r="R16" s="21">
        <f t="shared" si="23"/>
        <v>42781</v>
      </c>
      <c r="S16" s="20">
        <f t="shared" si="22"/>
        <v>42780</v>
      </c>
      <c r="T16" s="5">
        <f t="shared" si="21"/>
        <v>42809</v>
      </c>
      <c r="U16" s="5">
        <f t="shared" si="19"/>
        <v>42846</v>
      </c>
      <c r="V16" s="12">
        <f t="shared" si="16"/>
        <v>42891</v>
      </c>
      <c r="W16" s="5">
        <f t="shared" si="13"/>
        <v>42944</v>
      </c>
      <c r="X16" s="5">
        <f t="shared" si="10"/>
        <v>43005</v>
      </c>
      <c r="Y16" s="5">
        <f t="shared" si="7"/>
        <v>43074</v>
      </c>
      <c r="Z16" s="5">
        <f t="shared" si="4"/>
        <v>43151</v>
      </c>
    </row>
    <row r="17" spans="5:26" ht="20.399999999999999" customHeight="1">
      <c r="E17" s="5"/>
      <c r="F17" s="5">
        <f t="shared" si="0"/>
        <v>43104</v>
      </c>
      <c r="G17" s="5">
        <f t="shared" si="2"/>
        <v>43031</v>
      </c>
      <c r="H17" s="12">
        <f t="shared" si="5"/>
        <v>42966</v>
      </c>
      <c r="I17" s="5">
        <f t="shared" si="8"/>
        <v>42909</v>
      </c>
      <c r="J17" s="5">
        <f t="shared" si="11"/>
        <v>42860</v>
      </c>
      <c r="K17" s="4">
        <f t="shared" ref="K17:K23" si="24">L17+$B$1</f>
        <v>42819</v>
      </c>
      <c r="L17" s="22">
        <f t="shared" si="23"/>
        <v>42818</v>
      </c>
      <c r="M17" s="4">
        <f t="shared" si="23"/>
        <v>42817</v>
      </c>
      <c r="N17" s="7">
        <f t="shared" si="23"/>
        <v>42816</v>
      </c>
      <c r="O17" s="4">
        <f t="shared" si="23"/>
        <v>42815</v>
      </c>
      <c r="P17" s="8">
        <f t="shared" si="23"/>
        <v>42814</v>
      </c>
      <c r="Q17" s="4">
        <f t="shared" si="23"/>
        <v>42813</v>
      </c>
      <c r="R17" s="7">
        <f t="shared" si="23"/>
        <v>42812</v>
      </c>
      <c r="S17" s="4">
        <f t="shared" ref="S17:S23" si="25">T17+$B$1</f>
        <v>42811</v>
      </c>
      <c r="T17" s="20">
        <f t="shared" si="21"/>
        <v>42810</v>
      </c>
      <c r="U17" s="5">
        <f t="shared" si="19"/>
        <v>42847</v>
      </c>
      <c r="V17" s="5">
        <f t="shared" si="16"/>
        <v>42892</v>
      </c>
      <c r="W17" s="5">
        <f t="shared" si="13"/>
        <v>42945</v>
      </c>
      <c r="X17" s="12">
        <f t="shared" si="10"/>
        <v>43006</v>
      </c>
      <c r="Y17" s="5">
        <f t="shared" si="7"/>
        <v>43075</v>
      </c>
      <c r="Z17" s="5">
        <f t="shared" si="4"/>
        <v>43152</v>
      </c>
    </row>
    <row r="18" spans="5:26" ht="20.399999999999999" customHeight="1">
      <c r="E18" s="5"/>
      <c r="F18" s="12">
        <f t="shared" si="0"/>
        <v>43103</v>
      </c>
      <c r="G18" s="5">
        <f t="shared" si="2"/>
        <v>43030</v>
      </c>
      <c r="H18" s="5">
        <f t="shared" si="5"/>
        <v>42965</v>
      </c>
      <c r="I18" s="5">
        <f t="shared" si="8"/>
        <v>42908</v>
      </c>
      <c r="J18" s="4">
        <f t="shared" ref="J18:J23" si="26">K18+$B$1</f>
        <v>42859</v>
      </c>
      <c r="K18" s="22">
        <f t="shared" si="24"/>
        <v>42858</v>
      </c>
      <c r="L18" s="4">
        <f t="shared" si="23"/>
        <v>42857</v>
      </c>
      <c r="M18" s="4">
        <f t="shared" si="23"/>
        <v>42856</v>
      </c>
      <c r="N18" s="4">
        <f t="shared" si="23"/>
        <v>42855</v>
      </c>
      <c r="O18" s="4">
        <f t="shared" si="23"/>
        <v>42854</v>
      </c>
      <c r="P18" s="8">
        <f t="shared" si="23"/>
        <v>42853</v>
      </c>
      <c r="Q18" s="4">
        <f t="shared" si="23"/>
        <v>42852</v>
      </c>
      <c r="R18" s="4">
        <f t="shared" si="23"/>
        <v>42851</v>
      </c>
      <c r="S18" s="4">
        <f t="shared" si="25"/>
        <v>42850</v>
      </c>
      <c r="T18" s="4">
        <f t="shared" ref="T18:T23" si="27">U18+$B$1</f>
        <v>42849</v>
      </c>
      <c r="U18" s="20">
        <f t="shared" si="19"/>
        <v>42848</v>
      </c>
      <c r="V18" s="5">
        <f t="shared" si="16"/>
        <v>42893</v>
      </c>
      <c r="W18" s="5">
        <f t="shared" si="13"/>
        <v>42946</v>
      </c>
      <c r="X18" s="5">
        <f t="shared" si="10"/>
        <v>43007</v>
      </c>
      <c r="Y18" s="5">
        <f t="shared" si="7"/>
        <v>43076</v>
      </c>
      <c r="Z18" s="5">
        <f t="shared" si="4"/>
        <v>43153</v>
      </c>
    </row>
    <row r="19" spans="5:26" ht="20.399999999999999" customHeight="1">
      <c r="E19" s="5"/>
      <c r="F19" s="5">
        <f t="shared" si="0"/>
        <v>43102</v>
      </c>
      <c r="G19" s="5">
        <f t="shared" si="2"/>
        <v>43029</v>
      </c>
      <c r="H19" s="5">
        <f t="shared" si="5"/>
        <v>42964</v>
      </c>
      <c r="I19" s="4">
        <f>J19+$B$1</f>
        <v>42907</v>
      </c>
      <c r="J19" s="22">
        <f t="shared" si="26"/>
        <v>42906</v>
      </c>
      <c r="K19" s="4">
        <f t="shared" si="24"/>
        <v>42905</v>
      </c>
      <c r="L19" s="4">
        <f t="shared" si="23"/>
        <v>42904</v>
      </c>
      <c r="M19" s="7">
        <f t="shared" si="23"/>
        <v>42903</v>
      </c>
      <c r="N19" s="4">
        <f t="shared" si="23"/>
        <v>42902</v>
      </c>
      <c r="O19" s="4">
        <f t="shared" si="23"/>
        <v>42901</v>
      </c>
      <c r="P19" s="8">
        <f t="shared" si="23"/>
        <v>42900</v>
      </c>
      <c r="Q19" s="4">
        <f t="shared" si="23"/>
        <v>42899</v>
      </c>
      <c r="R19" s="4">
        <f t="shared" si="23"/>
        <v>42898</v>
      </c>
      <c r="S19" s="7">
        <f t="shared" si="25"/>
        <v>42897</v>
      </c>
      <c r="T19" s="4">
        <f t="shared" si="27"/>
        <v>42896</v>
      </c>
      <c r="U19" s="4">
        <f>V19+$B$1</f>
        <v>42895</v>
      </c>
      <c r="V19" s="20">
        <f t="shared" si="16"/>
        <v>42894</v>
      </c>
      <c r="W19" s="5">
        <f t="shared" si="13"/>
        <v>42947</v>
      </c>
      <c r="X19" s="5">
        <f t="shared" si="10"/>
        <v>43008</v>
      </c>
      <c r="Y19" s="5">
        <f t="shared" si="7"/>
        <v>43077</v>
      </c>
      <c r="Z19" s="12">
        <f t="shared" si="4"/>
        <v>43154</v>
      </c>
    </row>
    <row r="20" spans="5:26" ht="20.399999999999999" customHeight="1">
      <c r="E20" s="5"/>
      <c r="F20" s="5">
        <f t="shared" si="0"/>
        <v>43101</v>
      </c>
      <c r="G20" s="5">
        <f t="shared" si="2"/>
        <v>43028</v>
      </c>
      <c r="H20" s="4">
        <f>I20+$B$1</f>
        <v>42963</v>
      </c>
      <c r="I20" s="22">
        <f>J20+$B$1</f>
        <v>42962</v>
      </c>
      <c r="J20" s="4">
        <f t="shared" si="26"/>
        <v>42961</v>
      </c>
      <c r="K20" s="4">
        <f t="shared" si="24"/>
        <v>42960</v>
      </c>
      <c r="L20" s="4">
        <f t="shared" si="23"/>
        <v>42959</v>
      </c>
      <c r="M20" s="4">
        <f t="shared" si="23"/>
        <v>42958</v>
      </c>
      <c r="N20" s="4">
        <f t="shared" si="23"/>
        <v>42957</v>
      </c>
      <c r="O20" s="4">
        <f t="shared" si="23"/>
        <v>42956</v>
      </c>
      <c r="P20" s="8">
        <f t="shared" si="23"/>
        <v>42955</v>
      </c>
      <c r="Q20" s="4">
        <f t="shared" si="23"/>
        <v>42954</v>
      </c>
      <c r="R20" s="4">
        <f t="shared" si="23"/>
        <v>42953</v>
      </c>
      <c r="S20" s="4">
        <f t="shared" si="25"/>
        <v>42952</v>
      </c>
      <c r="T20" s="4">
        <f t="shared" si="27"/>
        <v>42951</v>
      </c>
      <c r="U20" s="4">
        <f>V20+$B$1</f>
        <v>42950</v>
      </c>
      <c r="V20" s="4">
        <f>W20+$B$1</f>
        <v>42949</v>
      </c>
      <c r="W20" s="20">
        <f t="shared" si="13"/>
        <v>42948</v>
      </c>
      <c r="X20" s="5">
        <f t="shared" si="10"/>
        <v>43009</v>
      </c>
      <c r="Y20" s="5">
        <f t="shared" si="7"/>
        <v>43078</v>
      </c>
      <c r="Z20" s="5">
        <f t="shared" si="4"/>
        <v>43155</v>
      </c>
    </row>
    <row r="21" spans="5:26" ht="20.399999999999999" customHeight="1">
      <c r="E21" s="5"/>
      <c r="F21" s="5">
        <f t="shared" si="0"/>
        <v>43100</v>
      </c>
      <c r="G21" s="4">
        <f>H21+$B$1</f>
        <v>43027</v>
      </c>
      <c r="H21" s="22">
        <f>I21+$B$1</f>
        <v>43026</v>
      </c>
      <c r="I21" s="4">
        <f>J21+$B$1</f>
        <v>43025</v>
      </c>
      <c r="J21" s="4">
        <f t="shared" si="26"/>
        <v>43024</v>
      </c>
      <c r="K21" s="4">
        <f t="shared" si="24"/>
        <v>43023</v>
      </c>
      <c r="L21" s="7">
        <f t="shared" si="23"/>
        <v>43022</v>
      </c>
      <c r="M21" s="4">
        <f t="shared" si="23"/>
        <v>43021</v>
      </c>
      <c r="N21" s="4">
        <f t="shared" si="23"/>
        <v>43020</v>
      </c>
      <c r="O21" s="4">
        <f t="shared" si="23"/>
        <v>43019</v>
      </c>
      <c r="P21" s="8">
        <f t="shared" si="23"/>
        <v>43018</v>
      </c>
      <c r="Q21" s="4">
        <f t="shared" si="23"/>
        <v>43017</v>
      </c>
      <c r="R21" s="4">
        <f t="shared" si="23"/>
        <v>43016</v>
      </c>
      <c r="S21" s="4">
        <f t="shared" si="25"/>
        <v>43015</v>
      </c>
      <c r="T21" s="7">
        <f t="shared" si="27"/>
        <v>43014</v>
      </c>
      <c r="U21" s="4">
        <f>V21+$B$1</f>
        <v>43013</v>
      </c>
      <c r="V21" s="4">
        <f>W21+$B$1</f>
        <v>43012</v>
      </c>
      <c r="W21" s="4">
        <f>X21+$B$1</f>
        <v>43011</v>
      </c>
      <c r="X21" s="20">
        <f t="shared" si="10"/>
        <v>43010</v>
      </c>
      <c r="Y21" s="5">
        <f t="shared" si="7"/>
        <v>43079</v>
      </c>
      <c r="Z21" s="5">
        <f t="shared" si="4"/>
        <v>43156</v>
      </c>
    </row>
    <row r="22" spans="5:26" ht="20.399999999999999" customHeight="1">
      <c r="E22" s="5"/>
      <c r="F22" s="4">
        <f>G22+$B$1</f>
        <v>43099</v>
      </c>
      <c r="G22" s="22">
        <f>H22+$B$1</f>
        <v>43098</v>
      </c>
      <c r="H22" s="4">
        <f>I22+$B$1</f>
        <v>43097</v>
      </c>
      <c r="I22" s="4">
        <f>J22+$B$1</f>
        <v>43096</v>
      </c>
      <c r="J22" s="4">
        <f t="shared" si="26"/>
        <v>43095</v>
      </c>
      <c r="K22" s="4">
        <f t="shared" si="24"/>
        <v>43094</v>
      </c>
      <c r="L22" s="4">
        <f t="shared" si="23"/>
        <v>43093</v>
      </c>
      <c r="M22" s="4">
        <f t="shared" si="23"/>
        <v>43092</v>
      </c>
      <c r="N22" s="4">
        <f t="shared" si="23"/>
        <v>43091</v>
      </c>
      <c r="O22" s="4">
        <f t="shared" si="23"/>
        <v>43090</v>
      </c>
      <c r="P22" s="8">
        <f t="shared" si="23"/>
        <v>43089</v>
      </c>
      <c r="Q22" s="4">
        <f t="shared" si="23"/>
        <v>43088</v>
      </c>
      <c r="R22" s="4">
        <f t="shared" si="23"/>
        <v>43087</v>
      </c>
      <c r="S22" s="4">
        <f t="shared" si="25"/>
        <v>43086</v>
      </c>
      <c r="T22" s="4">
        <f t="shared" si="27"/>
        <v>43085</v>
      </c>
      <c r="U22" s="4">
        <f>V22+$B$1</f>
        <v>43084</v>
      </c>
      <c r="V22" s="4">
        <f>W22+$B$1</f>
        <v>43083</v>
      </c>
      <c r="W22" s="4">
        <f>X22+$B$1</f>
        <v>43082</v>
      </c>
      <c r="X22" s="4">
        <f>Y22+$B$1</f>
        <v>43081</v>
      </c>
      <c r="Y22" s="20">
        <f t="shared" si="7"/>
        <v>43080</v>
      </c>
      <c r="Z22" s="5">
        <f t="shared" si="4"/>
        <v>43157</v>
      </c>
    </row>
    <row r="23" spans="5:26" ht="20.399999999999999" customHeight="1">
      <c r="F23" s="22">
        <f>G23+$B$1</f>
        <v>43178</v>
      </c>
      <c r="G23" s="4">
        <f>H23+$B$1</f>
        <v>43177</v>
      </c>
      <c r="H23" s="4">
        <f>I23+$B$1</f>
        <v>43176</v>
      </c>
      <c r="I23" s="4">
        <f>J23+$B$1</f>
        <v>43175</v>
      </c>
      <c r="J23" s="4">
        <f t="shared" si="26"/>
        <v>43174</v>
      </c>
      <c r="K23" s="7">
        <f t="shared" si="24"/>
        <v>43173</v>
      </c>
      <c r="L23" s="4">
        <f t="shared" si="23"/>
        <v>43172</v>
      </c>
      <c r="M23" s="4">
        <f t="shared" si="23"/>
        <v>43171</v>
      </c>
      <c r="N23" s="4">
        <f t="shared" si="23"/>
        <v>43170</v>
      </c>
      <c r="O23" s="4">
        <f t="shared" si="23"/>
        <v>43169</v>
      </c>
      <c r="P23" s="8">
        <f t="shared" si="23"/>
        <v>43168</v>
      </c>
      <c r="Q23" s="4">
        <f t="shared" si="23"/>
        <v>43167</v>
      </c>
      <c r="R23" s="4">
        <f t="shared" si="23"/>
        <v>43166</v>
      </c>
      <c r="S23" s="4">
        <f t="shared" si="25"/>
        <v>43165</v>
      </c>
      <c r="T23" s="4">
        <f t="shared" si="27"/>
        <v>43164</v>
      </c>
      <c r="U23" s="7">
        <f>V23+$B$1</f>
        <v>43163</v>
      </c>
      <c r="V23" s="4">
        <f>W23+$B$1</f>
        <v>43162</v>
      </c>
      <c r="W23" s="4">
        <f>X23+$B$1</f>
        <v>43161</v>
      </c>
      <c r="X23" s="4">
        <f>Y23+$B$1</f>
        <v>43160</v>
      </c>
      <c r="Y23" s="4">
        <f>Z23+$B$1</f>
        <v>43159</v>
      </c>
      <c r="Z23" s="20">
        <f t="shared" si="4"/>
        <v>43158</v>
      </c>
    </row>
    <row r="24" spans="5:26" ht="22.2" customHeight="1"/>
  </sheetData>
  <pageMargins left="0" right="0" top="0.39409448818897641" bottom="0.39409448818897641" header="0" footer="0"/>
  <headerFooter>
    <oddHeader>&amp;C&amp;A</oddHeader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W44"/>
  <sheetViews>
    <sheetView workbookViewId="0"/>
  </sheetViews>
  <sheetFormatPr defaultRowHeight="13.35"/>
  <cols>
    <col min="1" max="1" width="11.69921875" style="25" customWidth="1"/>
    <col min="2" max="34" width="4.796875" style="25" customWidth="1"/>
    <col min="35" max="35" width="9.3984375" style="25" customWidth="1"/>
    <col min="36" max="39" width="5.5" style="25" customWidth="1"/>
    <col min="40" max="40" width="11.19921875" style="27" customWidth="1"/>
    <col min="41" max="257" width="5.5" style="25" customWidth="1"/>
    <col min="258" max="1024" width="5.5" customWidth="1"/>
  </cols>
  <sheetData>
    <row r="1" spans="1:40" ht="7.8" customHeight="1">
      <c r="A1" s="23" t="s">
        <v>0</v>
      </c>
      <c r="B1" s="24">
        <v>1</v>
      </c>
      <c r="P1" s="68" t="s">
        <v>1</v>
      </c>
      <c r="Q1" s="68"/>
      <c r="R1" s="68"/>
      <c r="S1" s="68"/>
      <c r="T1" s="68"/>
      <c r="AD1" s="26"/>
      <c r="AE1" s="26"/>
      <c r="AF1" s="26" t="s">
        <v>2</v>
      </c>
      <c r="AG1" s="26"/>
      <c r="AH1" s="26"/>
    </row>
    <row r="2" spans="1:40" ht="7.8" customHeight="1">
      <c r="A2" s="23" t="s">
        <v>3</v>
      </c>
      <c r="B2" s="28">
        <v>1</v>
      </c>
      <c r="P2" s="29"/>
      <c r="Q2" s="30"/>
      <c r="R2" s="30"/>
      <c r="S2" s="30"/>
      <c r="T2" s="30"/>
      <c r="AD2" s="26"/>
      <c r="AE2" s="26"/>
      <c r="AF2" s="26" t="s">
        <v>4</v>
      </c>
      <c r="AG2" s="26"/>
      <c r="AH2" s="26"/>
    </row>
    <row r="3" spans="1:40" ht="7.8" customHeight="1">
      <c r="A3" s="23" t="s">
        <v>5</v>
      </c>
      <c r="B3" s="28">
        <v>1</v>
      </c>
      <c r="P3" s="29"/>
      <c r="Q3" s="30"/>
      <c r="R3" s="30"/>
      <c r="S3" s="30"/>
      <c r="T3" s="30"/>
    </row>
    <row r="4" spans="1:40" ht="7.8" customHeight="1">
      <c r="Q4" s="69" t="s">
        <v>6</v>
      </c>
      <c r="R4" s="69"/>
      <c r="S4" s="69"/>
    </row>
    <row r="5" spans="1:40" s="26" customFormat="1" ht="7.8" customHeight="1">
      <c r="A5" s="31" t="s">
        <v>7</v>
      </c>
      <c r="I5" s="70" t="s">
        <v>8</v>
      </c>
      <c r="J5" s="70"/>
      <c r="K5" s="70"/>
      <c r="Q5" s="70" t="s">
        <v>9</v>
      </c>
      <c r="R5" s="70"/>
      <c r="S5" s="70"/>
      <c r="Y5" s="70" t="s">
        <v>10</v>
      </c>
      <c r="Z5" s="70"/>
      <c r="AA5" s="70"/>
      <c r="AG5" s="70" t="s">
        <v>11</v>
      </c>
      <c r="AH5" s="70"/>
      <c r="AI5" s="70"/>
      <c r="AJ5" s="32"/>
      <c r="AN5" s="33"/>
    </row>
    <row r="6" spans="1:40" s="26" customFormat="1" ht="7.8" customHeight="1">
      <c r="A6" s="34" t="s">
        <v>12</v>
      </c>
      <c r="I6" s="71">
        <v>0.4375</v>
      </c>
      <c r="J6" s="71"/>
      <c r="K6" s="71"/>
      <c r="Q6" s="71">
        <v>0.5</v>
      </c>
      <c r="R6" s="71"/>
      <c r="S6" s="71"/>
      <c r="Y6" s="71" t="s">
        <v>13</v>
      </c>
      <c r="Z6" s="71"/>
      <c r="AA6" s="71"/>
      <c r="AG6" s="72" t="s">
        <v>14</v>
      </c>
      <c r="AH6" s="72"/>
      <c r="AI6" s="72"/>
      <c r="AJ6" s="32"/>
      <c r="AN6" s="33"/>
    </row>
    <row r="7" spans="1:40" s="26" customFormat="1" ht="13.8" customHeight="1">
      <c r="A7" s="31" t="s">
        <v>15</v>
      </c>
      <c r="I7" s="73" t="s">
        <v>16</v>
      </c>
      <c r="J7" s="73"/>
      <c r="K7" s="73"/>
      <c r="Q7" s="73" t="s">
        <v>17</v>
      </c>
      <c r="R7" s="73"/>
      <c r="S7" s="73"/>
      <c r="Y7" s="73" t="s">
        <v>18</v>
      </c>
      <c r="Z7" s="73"/>
      <c r="AA7" s="73"/>
      <c r="AG7" s="69" t="s">
        <v>19</v>
      </c>
      <c r="AH7" s="69"/>
      <c r="AI7" s="69"/>
      <c r="AJ7" s="32"/>
      <c r="AN7" s="33"/>
    </row>
    <row r="8" spans="1:40" ht="15.6" customHeight="1">
      <c r="A8" s="35"/>
      <c r="B8" s="36">
        <f>$B$1*$B$2+$B$3*992</f>
        <v>993</v>
      </c>
      <c r="C8" s="37">
        <f>$B$1*$B$2+$B$3*993</f>
        <v>994</v>
      </c>
      <c r="D8" s="37">
        <f>$B$1*$B$2+$B$3*994</f>
        <v>995</v>
      </c>
      <c r="E8" s="37">
        <f>$B$1*$B$2+$B$3*995</f>
        <v>996</v>
      </c>
      <c r="F8" s="37">
        <f>$B$1*$B$2+$B$3*996</f>
        <v>997</v>
      </c>
      <c r="G8" s="37">
        <f>$B$1*$B$2+$B$3*997</f>
        <v>998</v>
      </c>
      <c r="H8" s="37">
        <f>$B$1*$B$2+$B$3*998</f>
        <v>999</v>
      </c>
      <c r="I8" s="37">
        <f>$B$1*$B$2+$B$3*999</f>
        <v>1000</v>
      </c>
      <c r="J8" s="38">
        <f>$B$1*$B$2+$B$3*1000</f>
        <v>1001</v>
      </c>
      <c r="K8" s="37">
        <f>$B$1*$B$2+$B$3*1001</f>
        <v>1002</v>
      </c>
      <c r="L8" s="37">
        <f>$B$1*$B$2+$B$3*1002</f>
        <v>1003</v>
      </c>
      <c r="M8" s="37">
        <f>$B$1*$B$2+$B$3*1003</f>
        <v>1004</v>
      </c>
      <c r="N8" s="37">
        <f>$B$1*$B$2+$B$3*1004</f>
        <v>1005</v>
      </c>
      <c r="O8" s="37">
        <f>$B$1*$B$2+$B$3*1005</f>
        <v>1006</v>
      </c>
      <c r="P8" s="37">
        <f>$B$1*$B$2+$B$3*1006</f>
        <v>1007</v>
      </c>
      <c r="Q8" s="37">
        <f>$B$1*$B$2+$B$3*1007</f>
        <v>1008</v>
      </c>
      <c r="R8" s="39">
        <f>$B$1*$B$2+$B$3*1008</f>
        <v>1009</v>
      </c>
      <c r="S8" s="37">
        <f>$B$1*$B$2+$B$3*1009</f>
        <v>1010</v>
      </c>
      <c r="T8" s="37">
        <f>$B$1*$B$2+$B$3*1010</f>
        <v>1011</v>
      </c>
      <c r="U8" s="37">
        <f>$B$1*$B$2+$B$3*1011</f>
        <v>1012</v>
      </c>
      <c r="V8" s="37">
        <f>$B$1*$B$2+$B$3*1012</f>
        <v>1013</v>
      </c>
      <c r="W8" s="37">
        <f>$B$1*$B$2+$B$3*1013</f>
        <v>1014</v>
      </c>
      <c r="X8" s="37">
        <f>$B$1*$B$2+$B$3*1014</f>
        <v>1015</v>
      </c>
      <c r="Y8" s="37">
        <f>$B$1*$B$2+$B$3*1015</f>
        <v>1016</v>
      </c>
      <c r="Z8" s="38">
        <f>$B$1*$B$2+$B$3*1016</f>
        <v>1017</v>
      </c>
      <c r="AA8" s="37">
        <f>$B$1*$B$2+$B$3*1017</f>
        <v>1018</v>
      </c>
      <c r="AB8" s="37">
        <f>$B$1*$B$2+$B$3*1018</f>
        <v>1019</v>
      </c>
      <c r="AC8" s="37">
        <f>$B$1*$B$2+$B$3*1019</f>
        <v>1020</v>
      </c>
      <c r="AD8" s="37">
        <f>$B$1*$B$2+$B$3*1020</f>
        <v>1021</v>
      </c>
      <c r="AE8" s="37">
        <f>$B$1*$B$2+$B$3*1021</f>
        <v>1022</v>
      </c>
      <c r="AF8" s="37">
        <f>$B$1*$B$2+$B$3*1022</f>
        <v>1023</v>
      </c>
      <c r="AG8" s="37">
        <f>$B$1*$B$2+$B$3*1023</f>
        <v>1024</v>
      </c>
      <c r="AH8" s="40">
        <f>$B$1*$B$2+$B$3*1024</f>
        <v>1025</v>
      </c>
      <c r="AI8" s="41"/>
    </row>
    <row r="9" spans="1:40" ht="15.6" customHeight="1">
      <c r="A9" s="42"/>
      <c r="B9" s="43">
        <f>$B$1*$B$2+$B$3*991</f>
        <v>992</v>
      </c>
      <c r="C9" s="36">
        <f>$B$1*$B$2+$B$3*870</f>
        <v>871</v>
      </c>
      <c r="D9" s="37">
        <f>$B$1*$B$2+$B$3*871</f>
        <v>872</v>
      </c>
      <c r="E9" s="37">
        <f>$B$1*$B$2+$B$3*872</f>
        <v>873</v>
      </c>
      <c r="F9" s="37">
        <f>$B$1*$B$2+$B$3*873</f>
        <v>874</v>
      </c>
      <c r="G9" s="37">
        <f>$B$1*$B$2+$B$3*874</f>
        <v>875</v>
      </c>
      <c r="H9" s="37">
        <f>$B$1*$B$2+$B$3*875</f>
        <v>876</v>
      </c>
      <c r="I9" s="37">
        <f>$B$1*$B$2+$B$3*876</f>
        <v>877</v>
      </c>
      <c r="J9" s="37">
        <f>$B$1*$B$2+$B$3*877</f>
        <v>878</v>
      </c>
      <c r="K9" s="37">
        <f>$B$1*$B$2+$B$3*878</f>
        <v>879</v>
      </c>
      <c r="L9" s="37">
        <f>$B$1*$B$2+$B$3*879</f>
        <v>880</v>
      </c>
      <c r="M9" s="37">
        <f>$B$1*$B$2+$B$3*880</f>
        <v>881</v>
      </c>
      <c r="N9" s="37">
        <f>$B$1*$B$2+$B$3*881</f>
        <v>882</v>
      </c>
      <c r="O9" s="37">
        <f>$B$1*$B$2+$B$3*882</f>
        <v>883</v>
      </c>
      <c r="P9" s="37">
        <f>$B$1*$B$2+$B$3*883</f>
        <v>884</v>
      </c>
      <c r="Q9" s="37">
        <f>$B$1*$B$2+$B$3*884</f>
        <v>885</v>
      </c>
      <c r="R9" s="39">
        <f>$B$1*$B$2+$B$3*885</f>
        <v>886</v>
      </c>
      <c r="S9" s="37">
        <f>$B$1*$B$2+$B$3*886</f>
        <v>887</v>
      </c>
      <c r="T9" s="37">
        <f>$B$1*$B$2+$B$3*887</f>
        <v>888</v>
      </c>
      <c r="U9" s="37">
        <f>$B$1*$B$2+$B$3*888</f>
        <v>889</v>
      </c>
      <c r="V9" s="37">
        <f>$B$1*$B$2+$B$3*889</f>
        <v>890</v>
      </c>
      <c r="W9" s="37">
        <f>$B$1*$B$2+$B$3*890</f>
        <v>891</v>
      </c>
      <c r="X9" s="37">
        <f>$B$1*$B$2+$B$3*891</f>
        <v>892</v>
      </c>
      <c r="Y9" s="37">
        <f>$B$1*$B$2+$B$3*892</f>
        <v>893</v>
      </c>
      <c r="Z9" s="37">
        <f>$B$1*$B$2+$B$3*893</f>
        <v>894</v>
      </c>
      <c r="AA9" s="37">
        <f>$B$1*$B$2+$B$3*894</f>
        <v>895</v>
      </c>
      <c r="AB9" s="37">
        <f>$B$1*$B$2+$B$3*895</f>
        <v>896</v>
      </c>
      <c r="AC9" s="37">
        <f>$B$1*$B$2+$B$3*896</f>
        <v>897</v>
      </c>
      <c r="AD9" s="37">
        <f>$B$1*$B$2+$B$3*897</f>
        <v>898</v>
      </c>
      <c r="AE9" s="37">
        <f>$B$1*$B$2+$B$3*898</f>
        <v>899</v>
      </c>
      <c r="AF9" s="37">
        <f>$B$1*$B$2+$B$3*899</f>
        <v>900</v>
      </c>
      <c r="AG9" s="40">
        <f>$B$1*$B$2+$B$3*900</f>
        <v>901</v>
      </c>
      <c r="AH9" s="43">
        <f>$B$1*$B$2+$B$3*1025</f>
        <v>1026</v>
      </c>
      <c r="AI9" s="41"/>
    </row>
    <row r="10" spans="1:40" ht="15.6" customHeight="1">
      <c r="B10" s="43">
        <f>$B$1*$B$2+$B$3*990</f>
        <v>991</v>
      </c>
      <c r="C10" s="43">
        <f>$B$1*$B$2+$B$3*869</f>
        <v>870</v>
      </c>
      <c r="D10" s="36">
        <f>$B$1*$B$2+$B$3*756</f>
        <v>757</v>
      </c>
      <c r="E10" s="37">
        <f>$B$1*$B$2+$B$3*757</f>
        <v>758</v>
      </c>
      <c r="F10" s="37">
        <f>$B$1*$B$2+$B$3*758</f>
        <v>759</v>
      </c>
      <c r="G10" s="37">
        <f>$B$1*$B$2+$B$3*759</f>
        <v>760</v>
      </c>
      <c r="H10" s="37">
        <f>$B$1*$B$2+$B$3*760</f>
        <v>761</v>
      </c>
      <c r="I10" s="37">
        <f>$B$1*$B$2+$B$3*761</f>
        <v>762</v>
      </c>
      <c r="J10" s="37">
        <f>$B$1*$B$2+$B$3*762</f>
        <v>763</v>
      </c>
      <c r="K10" s="38">
        <f>$B$1*$B$2+$B$3*763</f>
        <v>764</v>
      </c>
      <c r="L10" s="37">
        <f>$B$1*$B$2+$B$3*764</f>
        <v>765</v>
      </c>
      <c r="M10" s="37">
        <f>$B$1*$B$2+$B$3*765</f>
        <v>766</v>
      </c>
      <c r="N10" s="37">
        <f>$B$1*$B$2+$B$3*766</f>
        <v>767</v>
      </c>
      <c r="O10" s="37">
        <f>$B$1*$B$2+$B$3*767</f>
        <v>768</v>
      </c>
      <c r="P10" s="37">
        <f>$B$1*$B$2+$B$3*768</f>
        <v>769</v>
      </c>
      <c r="Q10" s="37">
        <f>$B$1*$B$2+$B$3*769</f>
        <v>770</v>
      </c>
      <c r="R10" s="39">
        <f>$B$1*$B$2+$B$3*770</f>
        <v>771</v>
      </c>
      <c r="S10" s="37">
        <f>$B$1*$B$2+$B$3*771</f>
        <v>772</v>
      </c>
      <c r="T10" s="37">
        <f>$B$1*$B$2+$B$3*772</f>
        <v>773</v>
      </c>
      <c r="U10" s="37">
        <f>$B$1*$B$2+$B$3*773</f>
        <v>774</v>
      </c>
      <c r="V10" s="37">
        <f>$B$1*$B$2+$B$3*774</f>
        <v>775</v>
      </c>
      <c r="W10" s="37">
        <f>$B$1*$B$2+$B$3*775</f>
        <v>776</v>
      </c>
      <c r="X10" s="37">
        <f>$B$1*$B$2+$B$3*776</f>
        <v>777</v>
      </c>
      <c r="Y10" s="38">
        <f>$B$1*$B$2+$B$3*777</f>
        <v>778</v>
      </c>
      <c r="Z10" s="37">
        <f>$B$1*$B$2+$B$3*778</f>
        <v>779</v>
      </c>
      <c r="AA10" s="37">
        <f>$B$1*$B$2+$B$3*779</f>
        <v>780</v>
      </c>
      <c r="AB10" s="37">
        <f>$B$1*$B$2+$B$3*780</f>
        <v>781</v>
      </c>
      <c r="AC10" s="37">
        <f>$B$1*$B$2+$B$3*781</f>
        <v>782</v>
      </c>
      <c r="AD10" s="37">
        <f>$B$1*$B$2+$B$3*782</f>
        <v>783</v>
      </c>
      <c r="AE10" s="37">
        <f>$B$1*$B$2+$B$3*783</f>
        <v>784</v>
      </c>
      <c r="AF10" s="40">
        <f>$B$1*$B$2+$B$3*784</f>
        <v>785</v>
      </c>
      <c r="AG10" s="44">
        <f>$B$1*$B$2+$B$3*901</f>
        <v>902</v>
      </c>
      <c r="AH10" s="43">
        <f>$B$1*$B$2+$B$3*1026</f>
        <v>1027</v>
      </c>
    </row>
    <row r="11" spans="1:40" ht="15.6" customHeight="1">
      <c r="B11" s="43">
        <f>$B$1*$B$2+$B$3*989</f>
        <v>990</v>
      </c>
      <c r="C11" s="43">
        <f>$B$1*$B$2+$B$3*868</f>
        <v>869</v>
      </c>
      <c r="D11" s="45">
        <f>$B$1*$B$2+$B$3*755</f>
        <v>756</v>
      </c>
      <c r="E11" s="36">
        <f>$B$1*$B$2+$B$3*650</f>
        <v>651</v>
      </c>
      <c r="F11" s="46">
        <f>$B$1*$B$2+$B$3*651</f>
        <v>652</v>
      </c>
      <c r="G11" s="46">
        <f>$B$1*$B$2+$B$3*652</f>
        <v>653</v>
      </c>
      <c r="H11" s="46">
        <f>$B$1*$B$2+$B$3*653</f>
        <v>654</v>
      </c>
      <c r="I11" s="46">
        <f>$B$1*$B$2+$B$3*654</f>
        <v>655</v>
      </c>
      <c r="J11" s="46">
        <f>$B$1*$B$2+$B$3*655</f>
        <v>656</v>
      </c>
      <c r="K11" s="46">
        <f>$B$1*$B$2+$B$3*656</f>
        <v>657</v>
      </c>
      <c r="L11" s="46">
        <f>$B$1*$B$2+$B$3*657</f>
        <v>658</v>
      </c>
      <c r="M11" s="46">
        <f>$B$1*$B$2+$B$3*658</f>
        <v>659</v>
      </c>
      <c r="N11" s="46">
        <f>$B$1*$B$2+$B$3*659</f>
        <v>660</v>
      </c>
      <c r="O11" s="46">
        <f>$B$1*$B$2+$B$3*660</f>
        <v>661</v>
      </c>
      <c r="P11" s="46">
        <f>$B$1*$B$2+$B$3*661</f>
        <v>662</v>
      </c>
      <c r="Q11" s="46">
        <f>$B$1*$B$2+$B$3*662</f>
        <v>663</v>
      </c>
      <c r="R11" s="47">
        <f>$B$1*$B$2+$B$3*663</f>
        <v>664</v>
      </c>
      <c r="S11" s="46">
        <f>$B$1*$B$2+$B$3*664</f>
        <v>665</v>
      </c>
      <c r="T11" s="46">
        <f>$B$1*$B$2+$B$3*665</f>
        <v>666</v>
      </c>
      <c r="U11" s="46">
        <f>$B$1*$B$2+$B$3*666</f>
        <v>667</v>
      </c>
      <c r="V11" s="46">
        <f>$B$1*$B$2+$B$3*667</f>
        <v>668</v>
      </c>
      <c r="W11" s="46">
        <f>$B$1*$B$2+$B$3*668</f>
        <v>669</v>
      </c>
      <c r="X11" s="46">
        <f>$B$1*$B$2+$B$3*669</f>
        <v>670</v>
      </c>
      <c r="Y11" s="46">
        <f>$B$1*$B$2+$B$3*670</f>
        <v>671</v>
      </c>
      <c r="Z11" s="46">
        <f>$B$1*$B$2+$B$3*671</f>
        <v>672</v>
      </c>
      <c r="AA11" s="46">
        <f>$B$1*$B$2+$B$3*672</f>
        <v>673</v>
      </c>
      <c r="AB11" s="46">
        <f>$B$1*$B$2+$B$3*673</f>
        <v>674</v>
      </c>
      <c r="AC11" s="46">
        <f>$B$1*$B$2+$B$3*674</f>
        <v>675</v>
      </c>
      <c r="AD11" s="46">
        <f>$B$1*$B$2+$B$3*675</f>
        <v>676</v>
      </c>
      <c r="AE11" s="40">
        <f>$B$1*$B$2+$B$3*676</f>
        <v>677</v>
      </c>
      <c r="AF11" s="44">
        <f>$B$1*$B$2+$B$3*785</f>
        <v>786</v>
      </c>
      <c r="AG11" s="44">
        <f>$B$1*$B$2+$B$3*902</f>
        <v>903</v>
      </c>
      <c r="AH11" s="43">
        <f>$B$1*$B$2+$B$3*1027</f>
        <v>1028</v>
      </c>
    </row>
    <row r="12" spans="1:40" ht="15.6" customHeight="1">
      <c r="B12" s="43">
        <f>$B$1*$B$2+$B$3*988</f>
        <v>989</v>
      </c>
      <c r="C12" s="43">
        <f>$B$1*$B$2+$B$3*867</f>
        <v>868</v>
      </c>
      <c r="D12" s="45">
        <f>$B$1*$B$2+$B$3*754</f>
        <v>755</v>
      </c>
      <c r="E12" s="45">
        <f>$B$1*$B$2+$B$3*649</f>
        <v>650</v>
      </c>
      <c r="F12" s="36">
        <f>$B$1*$B$2+$B$3*552</f>
        <v>553</v>
      </c>
      <c r="G12" s="46">
        <f>$B$1*$B$2+$B$3*553</f>
        <v>554</v>
      </c>
      <c r="H12" s="46">
        <f>$B$1*$B$2+$B$3*554</f>
        <v>555</v>
      </c>
      <c r="I12" s="46">
        <f>$B$1*$B$2+$B$3*555</f>
        <v>556</v>
      </c>
      <c r="J12" s="46">
        <f>$B$1*$B$2+$B$3*556</f>
        <v>557</v>
      </c>
      <c r="K12" s="46">
        <f>$B$1*$B$2+$B$3*557</f>
        <v>558</v>
      </c>
      <c r="L12" s="48">
        <f>$B$1*$B$2+$B$3*558</f>
        <v>559</v>
      </c>
      <c r="M12" s="46">
        <f>$B$1*$B$2+$B$3*559</f>
        <v>560</v>
      </c>
      <c r="N12" s="46">
        <f>$B$1*$B$2+$B$3*560</f>
        <v>561</v>
      </c>
      <c r="O12" s="46">
        <f>$B$1*$B$2+$B$3*561</f>
        <v>562</v>
      </c>
      <c r="P12" s="46">
        <f>$B$1*$B$2+$B$3*562</f>
        <v>563</v>
      </c>
      <c r="Q12" s="46">
        <f>$B$1*$B$2+$B$3*563</f>
        <v>564</v>
      </c>
      <c r="R12" s="47">
        <f>$B$1*$B$2+$B$3*564</f>
        <v>565</v>
      </c>
      <c r="S12" s="46">
        <f>$B$1*$B$2+$B$3*565</f>
        <v>566</v>
      </c>
      <c r="T12" s="46">
        <f>$B$1*$B$2+$B$3*566</f>
        <v>567</v>
      </c>
      <c r="U12" s="46">
        <f>$B$1*$B$2+$B$3*567</f>
        <v>568</v>
      </c>
      <c r="V12" s="46">
        <f>$B$1*$B$2+$B$3*568</f>
        <v>569</v>
      </c>
      <c r="W12" s="46">
        <f>$B$1*$B$2+$B$3*569</f>
        <v>570</v>
      </c>
      <c r="X12" s="38">
        <f>$B$1*$B$2+$B$3*570</f>
        <v>571</v>
      </c>
      <c r="Y12" s="46">
        <f>$B$1*$B$2+$B$3*571</f>
        <v>572</v>
      </c>
      <c r="Z12" s="46">
        <f>$B$1*$B$2+$B$3*572</f>
        <v>573</v>
      </c>
      <c r="AA12" s="46">
        <f>$B$1*$B$2+$B$3*573</f>
        <v>574</v>
      </c>
      <c r="AB12" s="46">
        <f>$B$1*$B$2+$B$3*574</f>
        <v>575</v>
      </c>
      <c r="AC12" s="46">
        <f>$B$1*$B$2+$B$3*575</f>
        <v>576</v>
      </c>
      <c r="AD12" s="40">
        <f>$B$1*$B$2+$B$3*576</f>
        <v>577</v>
      </c>
      <c r="AE12" s="44">
        <f>$B$1*$B$2+$B$3*677</f>
        <v>678</v>
      </c>
      <c r="AF12" s="44">
        <f>$B$1*$B$2+$B$3*786</f>
        <v>787</v>
      </c>
      <c r="AG12" s="44">
        <f>$B$1*$B$2+$B$3*903</f>
        <v>904</v>
      </c>
      <c r="AH12" s="43">
        <f>$B$1*$B$2+$B$3*1028</f>
        <v>1029</v>
      </c>
    </row>
    <row r="13" spans="1:40" ht="15.6" customHeight="1">
      <c r="B13" s="43">
        <f>$B$1*$B$2+$B$3*987</f>
        <v>988</v>
      </c>
      <c r="C13" s="43">
        <f>$B$1*$B$2+$B$3*866</f>
        <v>867</v>
      </c>
      <c r="D13" s="45">
        <f>$B$1*$B$2+$B$3*753</f>
        <v>754</v>
      </c>
      <c r="E13" s="45">
        <f>$B$1*$B$2+$B$3*648</f>
        <v>649</v>
      </c>
      <c r="F13" s="45">
        <f>$B$1*$B$2+$B$3*551</f>
        <v>552</v>
      </c>
      <c r="G13" s="36">
        <f>$B$1*$B$2+$B$3*462</f>
        <v>463</v>
      </c>
      <c r="H13" s="46">
        <f>$B$1*$B$2+$B$3*463</f>
        <v>464</v>
      </c>
      <c r="I13" s="46">
        <f>$B$1*$B$2+$B$3*464</f>
        <v>465</v>
      </c>
      <c r="J13" s="46">
        <f>$B$1*$B$2+$B$3*465</f>
        <v>466</v>
      </c>
      <c r="K13" s="46">
        <f>$B$1*$B$2+$B$3*466</f>
        <v>467</v>
      </c>
      <c r="L13" s="46">
        <f>$B$1*$B$2+$B$3*467</f>
        <v>468</v>
      </c>
      <c r="M13" s="46">
        <f>$B$1*$B$2+$B$3*468</f>
        <v>469</v>
      </c>
      <c r="N13" s="46">
        <f>$B$1*$B$2+$B$3*469</f>
        <v>470</v>
      </c>
      <c r="O13" s="46">
        <f>$B$1*$B$2+$B$3*470</f>
        <v>471</v>
      </c>
      <c r="P13" s="46">
        <f>$B$1*$B$2+$B$3*471</f>
        <v>472</v>
      </c>
      <c r="Q13" s="46">
        <f>$B$1*$B$2+$B$3*472</f>
        <v>473</v>
      </c>
      <c r="R13" s="47">
        <f>$B$1*$B$2+$B$3*473</f>
        <v>474</v>
      </c>
      <c r="S13" s="46">
        <f>$B$1*$B$2+$B$3*474</f>
        <v>475</v>
      </c>
      <c r="T13" s="46">
        <f>$B$1*$B$2+$B$3*475</f>
        <v>476</v>
      </c>
      <c r="U13" s="46">
        <f>$B$1*$B$2+$B$3*476</f>
        <v>477</v>
      </c>
      <c r="V13" s="46">
        <f>$B$1*$B$2+$B$3*477</f>
        <v>478</v>
      </c>
      <c r="W13" s="46">
        <f>$B$1*$B$2+$B$3*478</f>
        <v>479</v>
      </c>
      <c r="X13" s="46">
        <f>$B$1*$B$2+$B$3*479</f>
        <v>480</v>
      </c>
      <c r="Y13" s="46">
        <f>$B$1*$B$2+$B$3*480</f>
        <v>481</v>
      </c>
      <c r="Z13" s="46">
        <f>$B$1*$B$2+$B$3*481</f>
        <v>482</v>
      </c>
      <c r="AA13" s="46">
        <f>$B$1*$B$2+$B$3*482</f>
        <v>483</v>
      </c>
      <c r="AB13" s="46">
        <f>$B$1*$B$2+$B$3*483</f>
        <v>484</v>
      </c>
      <c r="AC13" s="40">
        <f>$B$1*$B$2+$B$3*484</f>
        <v>485</v>
      </c>
      <c r="AD13" s="44">
        <f>$B$1*$B$2+$B$3*577</f>
        <v>578</v>
      </c>
      <c r="AE13" s="44">
        <f>$B$1*$B$2+$B$3*678</f>
        <v>679</v>
      </c>
      <c r="AF13" s="44">
        <f>$B$1*$B$2+$B$3*787</f>
        <v>788</v>
      </c>
      <c r="AG13" s="44">
        <f>$B$1*$B$2+$B$3*904</f>
        <v>905</v>
      </c>
      <c r="AH13" s="43">
        <f>$B$1*$B$2+$B$3*1029</f>
        <v>1030</v>
      </c>
    </row>
    <row r="14" spans="1:40" ht="15.6" customHeight="1">
      <c r="B14" s="43">
        <f>$B$1*$B$2+$B$3*986</f>
        <v>987</v>
      </c>
      <c r="C14" s="43">
        <f>$B$1*$B$2+$B$3*865</f>
        <v>866</v>
      </c>
      <c r="D14" s="45">
        <f>$B$1*$B$2+$B$3*752</f>
        <v>753</v>
      </c>
      <c r="E14" s="45">
        <f>$B$1*$B$2+$B$3*647</f>
        <v>648</v>
      </c>
      <c r="F14" s="45">
        <f>$B$1*$B$2+$B$3*550</f>
        <v>551</v>
      </c>
      <c r="G14" s="45">
        <f>$B$1*$B$2+$B$3*461</f>
        <v>462</v>
      </c>
      <c r="H14" s="36">
        <f>$B$1*$B$2+$B$3*380</f>
        <v>381</v>
      </c>
      <c r="I14" s="46">
        <f>$B$1*$B$2+$B$3*381</f>
        <v>382</v>
      </c>
      <c r="J14" s="46">
        <f>$B$1*$B$2+$B$3*382</f>
        <v>383</v>
      </c>
      <c r="K14" s="46">
        <f>$B$1*$B$2+$B$3*383</f>
        <v>384</v>
      </c>
      <c r="L14" s="46">
        <f>$B$1*$B$2+$B$3*384</f>
        <v>385</v>
      </c>
      <c r="M14" s="48">
        <f>$B$1*$B$2+$B$3*385</f>
        <v>386</v>
      </c>
      <c r="N14" s="46">
        <f>$B$1*$B$2+$B$3*386</f>
        <v>387</v>
      </c>
      <c r="O14" s="46">
        <f>$B$1*$B$2+$B$3*387</f>
        <v>388</v>
      </c>
      <c r="P14" s="46">
        <f>$B$1*$B$2+$B$3*388</f>
        <v>389</v>
      </c>
      <c r="Q14" s="46">
        <f>$B$1*$B$2+$B$3*389</f>
        <v>390</v>
      </c>
      <c r="R14" s="47">
        <f>$B$1*$B$2+$B$3*390</f>
        <v>391</v>
      </c>
      <c r="S14" s="46">
        <f>$B$1*$B$2+$B$3*391</f>
        <v>392</v>
      </c>
      <c r="T14" s="46">
        <f>$B$1*$B$2+$B$3*392</f>
        <v>393</v>
      </c>
      <c r="U14" s="46">
        <f>$B$1*$B$2+$B$3*393</f>
        <v>394</v>
      </c>
      <c r="V14" s="46">
        <f>$B$1*$B$2+$B$3*394</f>
        <v>395</v>
      </c>
      <c r="W14" s="38">
        <f>$B$1*$B$2+$B$3*395</f>
        <v>396</v>
      </c>
      <c r="X14" s="46">
        <f>$B$1*$B$2+$B$3*396</f>
        <v>397</v>
      </c>
      <c r="Y14" s="46">
        <f>$B$1*$B$2+$B$3*397</f>
        <v>398</v>
      </c>
      <c r="Z14" s="46">
        <f>$B$1*$B$2+$B$3*398</f>
        <v>399</v>
      </c>
      <c r="AA14" s="46">
        <f>$B$1*$B$2+$B$3*399</f>
        <v>400</v>
      </c>
      <c r="AB14" s="40">
        <f>$B$1*$B$2+$B$3*400</f>
        <v>401</v>
      </c>
      <c r="AC14" s="44">
        <f>$B$1*$B$2+$B$3*485</f>
        <v>486</v>
      </c>
      <c r="AD14" s="44">
        <f>$B$1*$B$2+$B$3*578</f>
        <v>579</v>
      </c>
      <c r="AE14" s="44">
        <f>$B$1*$B$2+$B$3*679</f>
        <v>680</v>
      </c>
      <c r="AF14" s="44">
        <f>$B$1*$B$2+$B$3*788</f>
        <v>789</v>
      </c>
      <c r="AG14" s="44">
        <f>$B$1*$B$2+$B$3*905</f>
        <v>906</v>
      </c>
      <c r="AH14" s="43">
        <f>$B$1*$B$2+$B$3*1030</f>
        <v>1031</v>
      </c>
    </row>
    <row r="15" spans="1:40" ht="15.6" customHeight="1">
      <c r="A15" s="49"/>
      <c r="B15" s="43">
        <f>$B$1*$B$2+$B$3*985</f>
        <v>986</v>
      </c>
      <c r="C15" s="43">
        <f>$B$1*$B$2+$B$3*864</f>
        <v>865</v>
      </c>
      <c r="D15" s="45">
        <f>$B$1*$B$2+$B$3*751</f>
        <v>752</v>
      </c>
      <c r="E15" s="45">
        <f>$B$1*$B$2+$B$3*646</f>
        <v>647</v>
      </c>
      <c r="F15" s="45">
        <f>$B$1*$B$2+$B$3*549</f>
        <v>550</v>
      </c>
      <c r="G15" s="45">
        <f>$B$1*$B$2+$B$3*460</f>
        <v>461</v>
      </c>
      <c r="H15" s="45">
        <f>$B$1*$B$2+$B$3*379</f>
        <v>380</v>
      </c>
      <c r="I15" s="36">
        <f>$B$1*$B$2+$B$3*306</f>
        <v>307</v>
      </c>
      <c r="J15" s="46">
        <f>$B$1*$B$2+$B$3*307</f>
        <v>308</v>
      </c>
      <c r="K15" s="46">
        <f>$B$1*$B$2+$B$3*308</f>
        <v>309</v>
      </c>
      <c r="L15" s="46">
        <f>$B$1*$B$2+$B$3*309</f>
        <v>310</v>
      </c>
      <c r="M15" s="46">
        <f>$B$1*$B$2+$B$3*310</f>
        <v>311</v>
      </c>
      <c r="N15" s="46">
        <f>$B$1*$B$2+$B$3*311</f>
        <v>312</v>
      </c>
      <c r="O15" s="46">
        <f>$B$1*$B$2+$B$3*312</f>
        <v>313</v>
      </c>
      <c r="P15" s="46">
        <f>$B$1*$B$2+$B$3*313</f>
        <v>314</v>
      </c>
      <c r="Q15" s="46">
        <f>$B$1*$B$2+$B$3*314</f>
        <v>315</v>
      </c>
      <c r="R15" s="47">
        <f>$B$1*$B$2+$B$3*315</f>
        <v>316</v>
      </c>
      <c r="S15" s="46">
        <f>$B$1*$B$2+$B$3*316</f>
        <v>317</v>
      </c>
      <c r="T15" s="46">
        <f>$B$1*$B$2+$B$3*317</f>
        <v>318</v>
      </c>
      <c r="U15" s="46">
        <f>$B$1*$B$2+$B$3*318</f>
        <v>319</v>
      </c>
      <c r="V15" s="46">
        <f>$B$1*$B$2+$B$3*319</f>
        <v>320</v>
      </c>
      <c r="W15" s="46">
        <f>$B$1*$B$2+$B$3*320</f>
        <v>321</v>
      </c>
      <c r="X15" s="46">
        <f>$B$1*$B$2+$B$3*321</f>
        <v>322</v>
      </c>
      <c r="Y15" s="46">
        <f>$B$1*$B$2+$B$3*322</f>
        <v>323</v>
      </c>
      <c r="Z15" s="46">
        <f>$B$1*$B$2+$B$3*323</f>
        <v>324</v>
      </c>
      <c r="AA15" s="40">
        <f>$B$1*$B$2+$B$3*324</f>
        <v>325</v>
      </c>
      <c r="AB15" s="44">
        <f>$B$1*$B$2+$B$3*401</f>
        <v>402</v>
      </c>
      <c r="AC15" s="44">
        <f>$B$1*$B$2+$B$3*486</f>
        <v>487</v>
      </c>
      <c r="AD15" s="44">
        <f>$B$1*$B$2+$B$3*579</f>
        <v>580</v>
      </c>
      <c r="AE15" s="44">
        <f>$B$1*$B$2+$B$3*680</f>
        <v>681</v>
      </c>
      <c r="AF15" s="44">
        <f>$B$1*$B$2+$B$3*789</f>
        <v>790</v>
      </c>
      <c r="AG15" s="44">
        <f>$B$1*$B$2+$B$3*906</f>
        <v>907</v>
      </c>
      <c r="AH15" s="43">
        <f>$B$1*$B$2+$B$3*1031</f>
        <v>1032</v>
      </c>
      <c r="AI15" s="49"/>
    </row>
    <row r="16" spans="1:40" ht="15.6" customHeight="1">
      <c r="A16" s="74" t="s">
        <v>20</v>
      </c>
      <c r="B16" s="50">
        <f>$B$1*$B$2+$B$3*984</f>
        <v>985</v>
      </c>
      <c r="C16" s="43">
        <f>$B$1*$B$2+$B$3*863</f>
        <v>864</v>
      </c>
      <c r="D16" s="45">
        <f>$B$1*$B$2+$B$3*750</f>
        <v>751</v>
      </c>
      <c r="E16" s="45">
        <f>$B$1*$B$2+$B$3*645</f>
        <v>646</v>
      </c>
      <c r="F16" s="45">
        <f>$B$1*$B$2+$B$3*548</f>
        <v>549</v>
      </c>
      <c r="G16" s="45">
        <f>$B$1*$B$2+$B$3*459</f>
        <v>460</v>
      </c>
      <c r="H16" s="45">
        <f>$B$1*$B$2+$B$3*378</f>
        <v>379</v>
      </c>
      <c r="I16" s="45">
        <f>$B$1*$B$2+$B$3*305</f>
        <v>306</v>
      </c>
      <c r="J16" s="36">
        <f>$B$1*$B$2+$B$3*240</f>
        <v>241</v>
      </c>
      <c r="K16" s="46">
        <f>$B$1*$B$2+$B$3*241</f>
        <v>242</v>
      </c>
      <c r="L16" s="46">
        <f>$B$1*$B$2+$B$3*242</f>
        <v>243</v>
      </c>
      <c r="M16" s="46">
        <f>$B$1*$B$2+$B$3*243</f>
        <v>244</v>
      </c>
      <c r="N16" s="48">
        <f>$B$1*$B$2+$B$3*244</f>
        <v>245</v>
      </c>
      <c r="O16" s="46">
        <f>$B$1*$B$2+$B$3*245</f>
        <v>246</v>
      </c>
      <c r="P16" s="46">
        <f>$B$1*$B$2+$B$3*246</f>
        <v>247</v>
      </c>
      <c r="Q16" s="46">
        <f>$B$1*$B$2+$B$3*247</f>
        <v>248</v>
      </c>
      <c r="R16" s="47">
        <f>$B$1*$B$2+$B$3*248</f>
        <v>249</v>
      </c>
      <c r="S16" s="46">
        <f>$B$1*$B$2+$B$3*249</f>
        <v>250</v>
      </c>
      <c r="T16" s="46">
        <f>$B$1*$B$2+$B$3*250</f>
        <v>251</v>
      </c>
      <c r="U16" s="46">
        <f>$B$1*$B$2+$B$3*251</f>
        <v>252</v>
      </c>
      <c r="V16" s="38">
        <f>$B$1*$B$2+$B$3*252</f>
        <v>253</v>
      </c>
      <c r="W16" s="46">
        <f>$B$1*$B$2+$B$3*253</f>
        <v>254</v>
      </c>
      <c r="X16" s="46">
        <f>$B$1*$B$2+$B$3*254</f>
        <v>255</v>
      </c>
      <c r="Y16" s="46">
        <f>$B$1*$B$2+$B$3*255</f>
        <v>256</v>
      </c>
      <c r="Z16" s="40">
        <f>$B$1*$B$2+$B$3*256</f>
        <v>257</v>
      </c>
      <c r="AA16" s="44">
        <f>$B$1*$B$2+$B$3*325</f>
        <v>326</v>
      </c>
      <c r="AB16" s="44">
        <f>$B$1*$B$2+$B$3*402</f>
        <v>403</v>
      </c>
      <c r="AC16" s="44">
        <f>$B$1*$B$2+$B$3*487</f>
        <v>488</v>
      </c>
      <c r="AD16" s="44">
        <f>$B$1*$B$2+$B$3*580</f>
        <v>581</v>
      </c>
      <c r="AE16" s="44">
        <f>$B$1*$B$2+$B$3*681</f>
        <v>682</v>
      </c>
      <c r="AF16" s="44">
        <f>$B$1*$B$2+$B$3*790</f>
        <v>791</v>
      </c>
      <c r="AG16" s="44">
        <f>$B$1*$B$2+$B$3*907</f>
        <v>908</v>
      </c>
      <c r="AH16" s="50">
        <f>$B$1*$B$2+$B$3*1032</f>
        <v>1033</v>
      </c>
      <c r="AI16" s="75" t="s">
        <v>21</v>
      </c>
    </row>
    <row r="17" spans="1:35" ht="15.6" customHeight="1">
      <c r="A17" s="74"/>
      <c r="B17" s="43">
        <f>$B$1*$B$2+$B$3*983</f>
        <v>984</v>
      </c>
      <c r="C17" s="43">
        <f>$B$1*$B$2+$B$3*862</f>
        <v>863</v>
      </c>
      <c r="D17" s="51">
        <f>$B$1*$B$2+$B$3*749</f>
        <v>750</v>
      </c>
      <c r="E17" s="45">
        <f>$B$1*$B$2+$B$3*644</f>
        <v>645</v>
      </c>
      <c r="F17" s="45">
        <f>$B$1*$B$2+$B$3*547</f>
        <v>548</v>
      </c>
      <c r="G17" s="45">
        <f>$B$1*$B$2+$B$3*458</f>
        <v>459</v>
      </c>
      <c r="H17" s="45">
        <f>$B$1*$B$2+$B$3*377</f>
        <v>378</v>
      </c>
      <c r="I17" s="45">
        <f>$B$1*$B$2+$B$3*304</f>
        <v>305</v>
      </c>
      <c r="J17" s="45">
        <f>$B$1*$B$2+$B$3*239</f>
        <v>240</v>
      </c>
      <c r="K17" s="36">
        <f>$B$1*$B$2+$B$3*182</f>
        <v>183</v>
      </c>
      <c r="L17" s="37">
        <f>$B$1*$B$2+$B$3*183</f>
        <v>184</v>
      </c>
      <c r="M17" s="37">
        <f>$B$1*$B$2+$B$3*184</f>
        <v>185</v>
      </c>
      <c r="N17" s="37">
        <f>$B$1*$B$2+$B$3*185</f>
        <v>186</v>
      </c>
      <c r="O17" s="37">
        <f>$B$1*$B$2+$B$3*186</f>
        <v>187</v>
      </c>
      <c r="P17" s="37">
        <f>$B$1*$B$2+$B$3*187</f>
        <v>188</v>
      </c>
      <c r="Q17" s="37">
        <f>$B$1*$B$2+$B$3*188</f>
        <v>189</v>
      </c>
      <c r="R17" s="39">
        <f>$B$1*$B$2+$B$3*189</f>
        <v>190</v>
      </c>
      <c r="S17" s="37">
        <f>$B$1*$B$2+$B$3*190</f>
        <v>191</v>
      </c>
      <c r="T17" s="37">
        <f>$B$1*$B$2+$B$3*191</f>
        <v>192</v>
      </c>
      <c r="U17" s="37">
        <f>$B$1*$B$2+$B$3*192</f>
        <v>193</v>
      </c>
      <c r="V17" s="37">
        <f>$B$1*$B$2+$B$3*193</f>
        <v>194</v>
      </c>
      <c r="W17" s="37">
        <f>$B$1*$B$2+$B$3*194</f>
        <v>195</v>
      </c>
      <c r="X17" s="37">
        <f>$B$1*$B$2+$B$3*195</f>
        <v>196</v>
      </c>
      <c r="Y17" s="40">
        <f>$B$1*$B$2+$B$3*196</f>
        <v>197</v>
      </c>
      <c r="Z17" s="44">
        <f>$B$1*$B$2+$B$3*257</f>
        <v>258</v>
      </c>
      <c r="AA17" s="44">
        <f>$B$1*$B$2+$B$3*326</f>
        <v>327</v>
      </c>
      <c r="AB17" s="44">
        <f>$B$1*$B$2+$B$3*403</f>
        <v>404</v>
      </c>
      <c r="AC17" s="44">
        <f>$B$1*$B$2+$B$3*488</f>
        <v>489</v>
      </c>
      <c r="AD17" s="44">
        <f>$B$1*$B$2+$B$3*581</f>
        <v>582</v>
      </c>
      <c r="AE17" s="44">
        <f>$B$1*$B$2+$B$3*682</f>
        <v>683</v>
      </c>
      <c r="AF17" s="52">
        <f>$B$1*$B$2+$B$3*791</f>
        <v>792</v>
      </c>
      <c r="AG17" s="44">
        <f>$B$1*$B$2+$B$3*908</f>
        <v>909</v>
      </c>
      <c r="AH17" s="43">
        <f>$B$1*$B$2+$B$3*1033</f>
        <v>1034</v>
      </c>
      <c r="AI17" s="75"/>
    </row>
    <row r="18" spans="1:35" ht="15.6" customHeight="1">
      <c r="B18" s="43">
        <f>$B$1*$B$2+$B$3*982</f>
        <v>983</v>
      </c>
      <c r="C18" s="43">
        <f>$B$1*$B$2+$B$3*861</f>
        <v>862</v>
      </c>
      <c r="D18" s="45">
        <f>$B$1*$B$2+$B$3*748</f>
        <v>749</v>
      </c>
      <c r="E18" s="45">
        <f>$B$1*$B$2+$B$3*643</f>
        <v>644</v>
      </c>
      <c r="F18" s="51">
        <f>$B$1*$B$2+$B$3*546</f>
        <v>547</v>
      </c>
      <c r="G18" s="45">
        <f>$B$1*$B$2+$B$3*457</f>
        <v>458</v>
      </c>
      <c r="H18" s="45">
        <f>$B$1*$B$2+$B$3*376</f>
        <v>377</v>
      </c>
      <c r="I18" s="45">
        <f>$B$1*$B$2+$B$3*303</f>
        <v>304</v>
      </c>
      <c r="J18" s="45">
        <f>$B$1*$B$2+$B$3*238</f>
        <v>239</v>
      </c>
      <c r="K18" s="45">
        <f>$B$1*$B$2+$B$3*181</f>
        <v>182</v>
      </c>
      <c r="L18" s="36">
        <f>$B$1*$B$2+$B$3*132</f>
        <v>133</v>
      </c>
      <c r="M18" s="46">
        <f>$B$1*$B$2+$B$3*133</f>
        <v>134</v>
      </c>
      <c r="N18" s="46">
        <f>$B$1*$B$2+$B$3*134</f>
        <v>135</v>
      </c>
      <c r="O18" s="48">
        <f>$B$1*$B$2+$B$3*135</f>
        <v>136</v>
      </c>
      <c r="P18" s="46">
        <f>$B$1*$B$2+$B$3*136</f>
        <v>137</v>
      </c>
      <c r="Q18" s="46">
        <f>$B$1*$B$2+$B$3*137</f>
        <v>138</v>
      </c>
      <c r="R18" s="47">
        <f>$B$1*$B$2+$B$3*138</f>
        <v>139</v>
      </c>
      <c r="S18" s="46">
        <f>$B$1*$B$2+$B$3*139</f>
        <v>140</v>
      </c>
      <c r="T18" s="46">
        <f>$B$1*$B$2+$B$3*140</f>
        <v>141</v>
      </c>
      <c r="U18" s="38">
        <f>$B$1*$B$2+$B$3*141</f>
        <v>142</v>
      </c>
      <c r="V18" s="46">
        <f>$B$1*$B$2+$B$3*142</f>
        <v>143</v>
      </c>
      <c r="W18" s="46">
        <f>$B$1*$B$2+$B$3*143</f>
        <v>144</v>
      </c>
      <c r="X18" s="40">
        <f>$B$1*$B$2+$B$3*144</f>
        <v>145</v>
      </c>
      <c r="Y18" s="44">
        <f>$B$1*$B$2+$B$3*197</f>
        <v>198</v>
      </c>
      <c r="Z18" s="44">
        <f>$B$1*$B$2+$B$3*258</f>
        <v>259</v>
      </c>
      <c r="AA18" s="44">
        <f>$B$1*$B$2+$B$3*327</f>
        <v>328</v>
      </c>
      <c r="AB18" s="44">
        <f>$B$1*$B$2+$B$3*404</f>
        <v>405</v>
      </c>
      <c r="AC18" s="44">
        <f>$B$1*$B$2+$B$3*489</f>
        <v>490</v>
      </c>
      <c r="AD18" s="52">
        <f>$B$1*$B$2+$B$3*582</f>
        <v>583</v>
      </c>
      <c r="AE18" s="44">
        <f>$B$1*$B$2+$B$3*683</f>
        <v>684</v>
      </c>
      <c r="AF18" s="44">
        <f>$B$1*$B$2+$B$3*792</f>
        <v>793</v>
      </c>
      <c r="AG18" s="44">
        <f>$B$1*$B$2+$B$3*909</f>
        <v>910</v>
      </c>
      <c r="AH18" s="43">
        <f>$B$1*$B$2+$B$3*1034</f>
        <v>1035</v>
      </c>
    </row>
    <row r="19" spans="1:35" ht="15.6" customHeight="1">
      <c r="B19" s="43">
        <f>$B$1*$B$2+$B$3*981</f>
        <v>982</v>
      </c>
      <c r="C19" s="43">
        <f>$B$1*$B$2+$B$3*860</f>
        <v>861</v>
      </c>
      <c r="D19" s="45">
        <f>$B$1*$B$2+$B$3*747</f>
        <v>748</v>
      </c>
      <c r="E19" s="45">
        <f>$B$1*$B$2+$B$3*642</f>
        <v>643</v>
      </c>
      <c r="F19" s="45">
        <f>$B$1*$B$2+$B$3*545</f>
        <v>546</v>
      </c>
      <c r="G19" s="45">
        <f>$B$1*$B$2+$B$3*456</f>
        <v>457</v>
      </c>
      <c r="H19" s="51">
        <f>$B$1*$B$2+$B$3*375</f>
        <v>376</v>
      </c>
      <c r="I19" s="45">
        <f>$B$1*$B$2+$B$3*302</f>
        <v>303</v>
      </c>
      <c r="J19" s="45">
        <f>$B$1*$B$2+$B$3*237</f>
        <v>238</v>
      </c>
      <c r="K19" s="45">
        <f>$B$1*$B$2+$B$3*180</f>
        <v>181</v>
      </c>
      <c r="L19" s="45">
        <f>$B$1*$B$2+$B$3*131</f>
        <v>132</v>
      </c>
      <c r="M19" s="36">
        <f>$B$1*$B$2+$B$3*90</f>
        <v>91</v>
      </c>
      <c r="N19" s="46">
        <f>$B$1*$B$2+$B$3*91</f>
        <v>92</v>
      </c>
      <c r="O19" s="46">
        <f>$B$1*$B$2+$B$3*92</f>
        <v>93</v>
      </c>
      <c r="P19" s="46">
        <f>$B$1*$B$2+$B$3*93</f>
        <v>94</v>
      </c>
      <c r="Q19" s="46">
        <f>$B$1*$B$2+$B$3*94</f>
        <v>95</v>
      </c>
      <c r="R19" s="47">
        <f>$B$1*$B$2+$B$3*95</f>
        <v>96</v>
      </c>
      <c r="S19" s="46">
        <f>$B$1*$B$2+$B$3*96</f>
        <v>97</v>
      </c>
      <c r="T19" s="46">
        <f>$B$1*$B$2+$B$3*97</f>
        <v>98</v>
      </c>
      <c r="U19" s="46">
        <f>$B$1*$B$2+$B$3*98</f>
        <v>99</v>
      </c>
      <c r="V19" s="46">
        <f>$B$1*$B$2+$B$3*99</f>
        <v>100</v>
      </c>
      <c r="W19" s="40">
        <f>$B$1*$B$2+$B$3*100</f>
        <v>101</v>
      </c>
      <c r="X19" s="44">
        <f>$B$1*$B$2+$B$3*145</f>
        <v>146</v>
      </c>
      <c r="Y19" s="44">
        <f>$B$1*$B$2+$B$3*198</f>
        <v>199</v>
      </c>
      <c r="Z19" s="44">
        <f>$B$1*$B$2+$B$3*259</f>
        <v>260</v>
      </c>
      <c r="AA19" s="44">
        <f>$B$1*$B$2+$B$3*328</f>
        <v>329</v>
      </c>
      <c r="AB19" s="52">
        <f>$B$1*$B$2+$B$3*405</f>
        <v>406</v>
      </c>
      <c r="AC19" s="44">
        <f>$B$1*$B$2+$B$3*490</f>
        <v>491</v>
      </c>
      <c r="AD19" s="44">
        <f>$B$1*$B$2+$B$3*583</f>
        <v>584</v>
      </c>
      <c r="AE19" s="44">
        <f>$B$1*$B$2+$B$3*684</f>
        <v>685</v>
      </c>
      <c r="AF19" s="44">
        <f>$B$1*$B$2+$B$3*793</f>
        <v>794</v>
      </c>
      <c r="AG19" s="44">
        <f>$B$1*$B$2+$B$3*910</f>
        <v>911</v>
      </c>
      <c r="AH19" s="43">
        <f>$B$1*$B$2+$B$3*1035</f>
        <v>1036</v>
      </c>
    </row>
    <row r="20" spans="1:35" ht="15.6" customHeight="1">
      <c r="B20" s="43">
        <f>$B$1*$B$2+$B$3*980</f>
        <v>981</v>
      </c>
      <c r="C20" s="43">
        <f>$B$1*$B$2+$B$3*859</f>
        <v>860</v>
      </c>
      <c r="D20" s="45">
        <f>$B$1*$B$2+$B$3*746</f>
        <v>747</v>
      </c>
      <c r="E20" s="45">
        <f>$B$1*$B$2+$B$3*641</f>
        <v>642</v>
      </c>
      <c r="F20" s="45">
        <f>$B$1*$B$2+$B$3*544</f>
        <v>545</v>
      </c>
      <c r="G20" s="45">
        <f>$B$1*$B$2+$B$3*455</f>
        <v>456</v>
      </c>
      <c r="H20" s="45">
        <f>$B$1*$B$2+$B$3*374</f>
        <v>375</v>
      </c>
      <c r="I20" s="45">
        <f>$B$1*$B$2+$B$3*301</f>
        <v>302</v>
      </c>
      <c r="J20" s="51">
        <f>$B$1*$B$2+$B$3*236</f>
        <v>237</v>
      </c>
      <c r="K20" s="45">
        <f>$B$1*$B$2+$B$3*179</f>
        <v>180</v>
      </c>
      <c r="L20" s="45">
        <f>$B$1*$B$2+$B$3*130</f>
        <v>131</v>
      </c>
      <c r="M20" s="45">
        <f>$B$1*$B$2+$B$3*89</f>
        <v>90</v>
      </c>
      <c r="N20" s="36">
        <f>$B$1*$B$2+$B$3*56</f>
        <v>57</v>
      </c>
      <c r="O20" s="46">
        <f>$B$1*$B$2+$B$3*57</f>
        <v>58</v>
      </c>
      <c r="P20" s="48">
        <f>$B$1*$B$2+$B$3*58</f>
        <v>59</v>
      </c>
      <c r="Q20" s="46">
        <f>$B$1*$B$2+$B$3*59</f>
        <v>60</v>
      </c>
      <c r="R20" s="47">
        <f>$B$1*$B$2+$B$3*60</f>
        <v>61</v>
      </c>
      <c r="S20" s="46">
        <f>$B$1*$B$2+$B$3*61</f>
        <v>62</v>
      </c>
      <c r="T20" s="38">
        <f>$B$1*$B$2+$B$3*62</f>
        <v>63</v>
      </c>
      <c r="U20" s="46">
        <f>$B$1*$B$2+$B$3*63</f>
        <v>64</v>
      </c>
      <c r="V20" s="40">
        <f>$B$1*$B$2+$B$3*64</f>
        <v>65</v>
      </c>
      <c r="W20" s="44">
        <f>$B$1*$B$2+$B$3*101</f>
        <v>102</v>
      </c>
      <c r="X20" s="44">
        <f>$B$1*$B$2+$B$3*146</f>
        <v>147</v>
      </c>
      <c r="Y20" s="44">
        <f>$B$1*$B$2+$B$3*199</f>
        <v>200</v>
      </c>
      <c r="Z20" s="52">
        <f>$B$1*$B$2+$B$3*260</f>
        <v>261</v>
      </c>
      <c r="AA20" s="44">
        <f>$B$1*$B$2+$B$3*329</f>
        <v>330</v>
      </c>
      <c r="AB20" s="44">
        <f>$B$1*$B$2+$B$3*406</f>
        <v>407</v>
      </c>
      <c r="AC20" s="44">
        <f>$B$1*$B$2+$B$3*491</f>
        <v>492</v>
      </c>
      <c r="AD20" s="44">
        <f>$B$1*$B$2+$B$3*584</f>
        <v>585</v>
      </c>
      <c r="AE20" s="44">
        <f>$B$1*$B$2+$B$3*685</f>
        <v>686</v>
      </c>
      <c r="AF20" s="44">
        <f>$B$1*$B$2+$B$3*794</f>
        <v>795</v>
      </c>
      <c r="AG20" s="44">
        <f>$B$1*$B$2+$B$3*911</f>
        <v>912</v>
      </c>
      <c r="AH20" s="43">
        <f>$B$1*$B$2+$B$3*1036</f>
        <v>1037</v>
      </c>
    </row>
    <row r="21" spans="1:35" ht="15.6" customHeight="1">
      <c r="B21" s="43">
        <f>$B$1*$B$2+$B$3*979</f>
        <v>980</v>
      </c>
      <c r="C21" s="43">
        <f>$B$1*$B$2+$B$3*858</f>
        <v>859</v>
      </c>
      <c r="D21" s="45">
        <f>$B$1*$B$2+$B$3*745</f>
        <v>746</v>
      </c>
      <c r="E21" s="45">
        <f>$B$1*$B$2+$B$3*640</f>
        <v>641</v>
      </c>
      <c r="F21" s="45">
        <f>$B$1*$B$2+$B$3*543</f>
        <v>544</v>
      </c>
      <c r="G21" s="45">
        <f>$B$1*$B$2+$B$3*454</f>
        <v>455</v>
      </c>
      <c r="H21" s="45">
        <f>$B$1*$B$2+$B$3*373</f>
        <v>374</v>
      </c>
      <c r="I21" s="45">
        <f>$B$1*$B$2+$B$3*300</f>
        <v>301</v>
      </c>
      <c r="J21" s="45">
        <f>$B$1*$B$2+$B$3*235</f>
        <v>236</v>
      </c>
      <c r="K21" s="45">
        <f>$B$1*$B$2+$B$3*178</f>
        <v>179</v>
      </c>
      <c r="L21" s="51">
        <f>$B$1*$B$2+$B$3*129</f>
        <v>130</v>
      </c>
      <c r="M21" s="45">
        <f>$B$1*$B$2+$B$3*88</f>
        <v>89</v>
      </c>
      <c r="N21" s="43">
        <f>$B$1*$B$2+$B$3*55</f>
        <v>56</v>
      </c>
      <c r="O21" s="36">
        <f>$B$1*$B$2+$B$3*30</f>
        <v>31</v>
      </c>
      <c r="P21" s="46">
        <f>$B$1*$B$2+$B$3*31</f>
        <v>32</v>
      </c>
      <c r="Q21" s="46">
        <f>$B$1*$B$2+$B$3*32</f>
        <v>33</v>
      </c>
      <c r="R21" s="47">
        <f>$B$1*$B$2+$B$3*33</f>
        <v>34</v>
      </c>
      <c r="S21" s="46">
        <f>$B$1*$B$2+$B$3*34</f>
        <v>35</v>
      </c>
      <c r="T21" s="46">
        <f>$B$1*$B$2+$B$3*35</f>
        <v>36</v>
      </c>
      <c r="U21" s="40">
        <f>$B$1*$B$2+$B$3*36</f>
        <v>37</v>
      </c>
      <c r="V21" s="44">
        <f>$B$1*$B$2+$B$3*65</f>
        <v>66</v>
      </c>
      <c r="W21" s="44">
        <f>$B$1*$B$2+$B$3*102</f>
        <v>103</v>
      </c>
      <c r="X21" s="52">
        <f>$B$1*$B$2+$B$3*147</f>
        <v>148</v>
      </c>
      <c r="Y21" s="44">
        <f>$B$1*$B$2+$B$3*200</f>
        <v>201</v>
      </c>
      <c r="Z21" s="44">
        <f>$B$1*$B$2+$B$3*261</f>
        <v>262</v>
      </c>
      <c r="AA21" s="44">
        <f>$B$1*$B$2+$B$3*330</f>
        <v>331</v>
      </c>
      <c r="AB21" s="44">
        <f>$B$1*$B$2+$B$3*407</f>
        <v>408</v>
      </c>
      <c r="AC21" s="44">
        <f>$B$1*$B$2+$B$3*492</f>
        <v>493</v>
      </c>
      <c r="AD21" s="44">
        <f>$B$1*$B$2+$B$3*585</f>
        <v>586</v>
      </c>
      <c r="AE21" s="44">
        <f>$B$1*$B$2+$B$3*686</f>
        <v>687</v>
      </c>
      <c r="AF21" s="44">
        <f>$B$1*$B$2+$B$3*795</f>
        <v>796</v>
      </c>
      <c r="AG21" s="44">
        <f>$B$1*$B$2+$B$3*912</f>
        <v>913</v>
      </c>
      <c r="AH21" s="43">
        <f>$B$1*$B$2+$B$3*1037</f>
        <v>1038</v>
      </c>
    </row>
    <row r="22" spans="1:35" ht="15.6" customHeight="1">
      <c r="B22" s="43">
        <f>$B$1*$B$2+$B$3*978</f>
        <v>979</v>
      </c>
      <c r="C22" s="43">
        <f>$B$1*$B$2+$B$3*857</f>
        <v>858</v>
      </c>
      <c r="D22" s="45">
        <f>$B$1*$B$2+$B$3*744</f>
        <v>745</v>
      </c>
      <c r="E22" s="45">
        <f>$B$1*$B$2+$B$3*639</f>
        <v>640</v>
      </c>
      <c r="F22" s="45">
        <f>$B$1*$B$2+$B$3*542</f>
        <v>543</v>
      </c>
      <c r="G22" s="45">
        <f>$B$1*$B$2+$B$3*453</f>
        <v>454</v>
      </c>
      <c r="H22" s="45">
        <f>$B$1*$B$2+$B$3*372</f>
        <v>373</v>
      </c>
      <c r="I22" s="45">
        <f>$B$1*$B$2+$B$3*299</f>
        <v>300</v>
      </c>
      <c r="J22" s="45">
        <f>$B$1*$B$2+$B$3*234</f>
        <v>235</v>
      </c>
      <c r="K22" s="45">
        <f>$B$1*$B$2+$B$3*177</f>
        <v>178</v>
      </c>
      <c r="L22" s="45">
        <f>$B$1*$B$2+$B$3*128</f>
        <v>129</v>
      </c>
      <c r="M22" s="45">
        <f>$B$1*$B$2+$B$3*87</f>
        <v>88</v>
      </c>
      <c r="N22" s="51">
        <f>$B$1*$B$2+$B$3*54</f>
        <v>55</v>
      </c>
      <c r="O22" s="45">
        <f>$B$1*$B$2+$B$3*29</f>
        <v>30</v>
      </c>
      <c r="P22" s="36">
        <f>$B$1*$B$2+$B$3*12</f>
        <v>13</v>
      </c>
      <c r="Q22" s="48">
        <f>$B$1*$B$2+$B$3*13</f>
        <v>14</v>
      </c>
      <c r="R22" s="47">
        <f>$B$1*$B$2+$B$3*14</f>
        <v>15</v>
      </c>
      <c r="S22" s="38">
        <f>$B$1*$B$2+$B$3*15</f>
        <v>16</v>
      </c>
      <c r="T22" s="40">
        <f>$B$1*$B$2+$B$3*16</f>
        <v>17</v>
      </c>
      <c r="U22" s="44">
        <f>$B$1*$B$2+$B$3*37</f>
        <v>38</v>
      </c>
      <c r="V22" s="52">
        <f>$B$1*$B$2+$B$3*66</f>
        <v>67</v>
      </c>
      <c r="W22" s="44">
        <f>$B$1*$B$2+$B$3*103</f>
        <v>104</v>
      </c>
      <c r="X22" s="44">
        <f>$B$1*$B$2+$B$3*148</f>
        <v>149</v>
      </c>
      <c r="Y22" s="44">
        <f>$B$1*$B$2+$B$3*201</f>
        <v>202</v>
      </c>
      <c r="Z22" s="44">
        <f>$B$1*$B$2+$B$3*262</f>
        <v>263</v>
      </c>
      <c r="AA22" s="44">
        <f>$B$1*$B$2+$B$3*331</f>
        <v>332</v>
      </c>
      <c r="AB22" s="44">
        <f>$B$1*$B$2+$B$3*408</f>
        <v>409</v>
      </c>
      <c r="AC22" s="44">
        <f>$B$1*$B$2+$B$3*493</f>
        <v>494</v>
      </c>
      <c r="AD22" s="44">
        <f>$B$1*$B$2+$B$3*586</f>
        <v>587</v>
      </c>
      <c r="AE22" s="44">
        <f>$B$1*$B$2+$B$3*687</f>
        <v>688</v>
      </c>
      <c r="AF22" s="44">
        <f>$B$1*$B$2+$B$3*796</f>
        <v>797</v>
      </c>
      <c r="AG22" s="44">
        <f>$B$1*$B$2+$B$3*913</f>
        <v>914</v>
      </c>
      <c r="AH22" s="43">
        <f>$B$1*$B$2+$B$3*1038</f>
        <v>1039</v>
      </c>
    </row>
    <row r="23" spans="1:35" ht="15.6" customHeight="1">
      <c r="A23" s="49" t="s">
        <v>22</v>
      </c>
      <c r="B23" s="43">
        <f>$B$1*$B$2+$B$3*977</f>
        <v>978</v>
      </c>
      <c r="C23" s="43">
        <f>$B$1*$B$2+$B$3*856</f>
        <v>857</v>
      </c>
      <c r="D23" s="45">
        <f>$B$1*$B$2+$B$3*743</f>
        <v>744</v>
      </c>
      <c r="E23" s="45">
        <f>$B$1*$B$2+$B$3*638</f>
        <v>639</v>
      </c>
      <c r="F23" s="45">
        <f>$B$1*$B$2+$B$3*541</f>
        <v>542</v>
      </c>
      <c r="G23" s="45">
        <f>$B$1*$B$2+$B$3*452</f>
        <v>453</v>
      </c>
      <c r="H23" s="45">
        <f>$B$1*$B$2+$B$3*371</f>
        <v>372</v>
      </c>
      <c r="I23" s="45">
        <f>$B$1*$B$2+$B$3*298</f>
        <v>299</v>
      </c>
      <c r="J23" s="45">
        <f>$B$1*$B$2+$B$3*233</f>
        <v>234</v>
      </c>
      <c r="K23" s="45">
        <f>$B$1*$B$2+$B$3*176</f>
        <v>177</v>
      </c>
      <c r="L23" s="45">
        <f>$B$1*$B$2+$B$3*127</f>
        <v>128</v>
      </c>
      <c r="M23" s="45">
        <f>$B$1*$B$2+$B$3*86</f>
        <v>87</v>
      </c>
      <c r="N23" s="45">
        <f>$B$1*$B$2+$B$3*53</f>
        <v>54</v>
      </c>
      <c r="O23" s="45">
        <f>$B$1*$B$2+$B$3*28</f>
        <v>29</v>
      </c>
      <c r="P23" s="51">
        <f>$B$1*$B$2+$B$3*11</f>
        <v>12</v>
      </c>
      <c r="Q23" s="36">
        <f>$B$1*$B$2+$B$3*2</f>
        <v>3</v>
      </c>
      <c r="R23" s="47">
        <f>$B$1*$B$2+$B$3*3</f>
        <v>4</v>
      </c>
      <c r="S23" s="40">
        <f>$B$1*$B$2+$B$3*4</f>
        <v>5</v>
      </c>
      <c r="T23" s="52">
        <f>$B$1*$B$2+$B$3*17</f>
        <v>18</v>
      </c>
      <c r="U23" s="44">
        <f>$B$1*$B$2+$B$3*38</f>
        <v>39</v>
      </c>
      <c r="V23" s="44">
        <f>$B$1*$B$2+$B$3*67</f>
        <v>68</v>
      </c>
      <c r="W23" s="44">
        <f>$B$1*$B$2+$B$3*104</f>
        <v>105</v>
      </c>
      <c r="X23" s="44">
        <f>$B$1*$B$2+$B$3*149</f>
        <v>150</v>
      </c>
      <c r="Y23" s="44">
        <f>$B$1*$B$2+$B$3*202</f>
        <v>203</v>
      </c>
      <c r="Z23" s="44">
        <f>$B$1*$B$2+$B$3*263</f>
        <v>264</v>
      </c>
      <c r="AA23" s="44">
        <f>$B$1*$B$2+$B$3*332</f>
        <v>333</v>
      </c>
      <c r="AB23" s="44">
        <f>$B$1*$B$2+$B$3*409</f>
        <v>410</v>
      </c>
      <c r="AC23" s="44">
        <f>$B$1*$B$2+$B$3*494</f>
        <v>495</v>
      </c>
      <c r="AD23" s="44">
        <f>$B$1*$B$2+$B$3*587</f>
        <v>588</v>
      </c>
      <c r="AE23" s="44">
        <f>$B$1*$B$2+$B$3*688</f>
        <v>689</v>
      </c>
      <c r="AF23" s="44">
        <f>$B$1*$B$2+$B$3*797</f>
        <v>798</v>
      </c>
      <c r="AG23" s="44">
        <f>$B$1*$B$2+$B$3*914</f>
        <v>915</v>
      </c>
      <c r="AH23" s="43">
        <f>$B$1*$B$2+$B$3*1039</f>
        <v>1040</v>
      </c>
      <c r="AI23" s="49" t="s">
        <v>23</v>
      </c>
    </row>
    <row r="24" spans="1:35" ht="15.6" customHeight="1">
      <c r="A24" s="74" t="s">
        <v>24</v>
      </c>
      <c r="B24" s="39">
        <f>$B$1*$B$2+$B$3*976</f>
        <v>977</v>
      </c>
      <c r="C24" s="39">
        <f>$B$1*$B$2+$B$3*855</f>
        <v>856</v>
      </c>
      <c r="D24" s="53">
        <f>$B$1*$B$2+$B$3*742</f>
        <v>743</v>
      </c>
      <c r="E24" s="53">
        <f>$B$1*$B$2+$B$3*637</f>
        <v>638</v>
      </c>
      <c r="F24" s="53">
        <f>$B$1*$B$2+$B$3*540</f>
        <v>541</v>
      </c>
      <c r="G24" s="53">
        <f>$B$1*$B$2+$B$3*451</f>
        <v>452</v>
      </c>
      <c r="H24" s="53">
        <f>$B$1*$B$2+$B$3*370</f>
        <v>371</v>
      </c>
      <c r="I24" s="53">
        <f>$B$1*$B$2+$B$3*297</f>
        <v>298</v>
      </c>
      <c r="J24" s="53">
        <f>$B$1*$B$2+$B$3*232</f>
        <v>233</v>
      </c>
      <c r="K24" s="53">
        <f>$B$1*$B$2+$B$3*175</f>
        <v>176</v>
      </c>
      <c r="L24" s="53">
        <f>$B$1*$B$2+$B$3*126</f>
        <v>127</v>
      </c>
      <c r="M24" s="53">
        <f>$B$1*$B$2+$B$3*85</f>
        <v>86</v>
      </c>
      <c r="N24" s="53">
        <f>$B$1*$B$2+$B$3*52</f>
        <v>53</v>
      </c>
      <c r="O24" s="53">
        <f>$B$1*$B$2+$B$3*27</f>
        <v>28</v>
      </c>
      <c r="P24" s="53">
        <f>$B$1*$B$2+$B$3*10</f>
        <v>11</v>
      </c>
      <c r="Q24" s="53">
        <f>$B$1*$B$2+$B$3</f>
        <v>2</v>
      </c>
      <c r="R24" s="54">
        <f>$B$1*$B$2</f>
        <v>1</v>
      </c>
      <c r="S24" s="55">
        <f>$B$1*$B$2+$B$3*5</f>
        <v>6</v>
      </c>
      <c r="T24" s="55">
        <f>$B$1*$B$2+$B$3*18</f>
        <v>19</v>
      </c>
      <c r="U24" s="55">
        <f>$B$1*$B$2+$B$3*39</f>
        <v>40</v>
      </c>
      <c r="V24" s="55">
        <f>$B$1*$B$2+$B$3*68</f>
        <v>69</v>
      </c>
      <c r="W24" s="55">
        <f>$B$1*$B$2+$B$3*105</f>
        <v>106</v>
      </c>
      <c r="X24" s="55">
        <f>$B$1*$B$2+$B$3*150</f>
        <v>151</v>
      </c>
      <c r="Y24" s="55">
        <f>$B$1*$B$2+$B$3*203</f>
        <v>204</v>
      </c>
      <c r="Z24" s="55">
        <f>$B$1*$B$2+$B$3*264</f>
        <v>265</v>
      </c>
      <c r="AA24" s="55">
        <f>$B$1*$B$2+$B$3*333</f>
        <v>334</v>
      </c>
      <c r="AB24" s="55">
        <f>$B$1*$B$2+$B$3*410</f>
        <v>411</v>
      </c>
      <c r="AC24" s="55">
        <f>$B$1*$B$2+$B$3*495</f>
        <v>496</v>
      </c>
      <c r="AD24" s="55">
        <f>$B$1*$B$2+$B$3*588</f>
        <v>589</v>
      </c>
      <c r="AE24" s="55">
        <f>$B$1*$B$2+$B$3*689</f>
        <v>690</v>
      </c>
      <c r="AF24" s="55">
        <f>$B$1*$B$2+$B$3*798</f>
        <v>799</v>
      </c>
      <c r="AG24" s="55">
        <f>$B$1*$B$2+$B$3*915</f>
        <v>916</v>
      </c>
      <c r="AH24" s="39">
        <f>$B$1*$B$2+$B$3*1040</f>
        <v>1041</v>
      </c>
      <c r="AI24" s="75" t="s">
        <v>25</v>
      </c>
    </row>
    <row r="25" spans="1:35" ht="15.6" customHeight="1">
      <c r="A25" s="74"/>
      <c r="B25" s="43">
        <f>$B$1*$B$2+$B$3*975</f>
        <v>976</v>
      </c>
      <c r="C25" s="43">
        <f>$B$1*$B$2+$B$3*854</f>
        <v>855</v>
      </c>
      <c r="D25" s="45">
        <f>$B$1*$B$2+$B$3*741</f>
        <v>742</v>
      </c>
      <c r="E25" s="45">
        <f>$B$1*$B$2+$B$3*636</f>
        <v>637</v>
      </c>
      <c r="F25" s="45">
        <f>$B$1*$B$2+$B$3*539</f>
        <v>540</v>
      </c>
      <c r="G25" s="45">
        <f>$B$1*$B$2+$B$3*450</f>
        <v>451</v>
      </c>
      <c r="H25" s="45">
        <f>$B$1*$B$2+$B$3*369</f>
        <v>370</v>
      </c>
      <c r="I25" s="45">
        <f>$B$1*$B$2+$B$3*296</f>
        <v>297</v>
      </c>
      <c r="J25" s="45">
        <f>$B$1*$B$2+$B$3*231</f>
        <v>232</v>
      </c>
      <c r="K25" s="45">
        <f>$B$1*$B$2+$B$3*174</f>
        <v>175</v>
      </c>
      <c r="L25" s="45">
        <f>$B$1*$B$2+$B$3*125</f>
        <v>126</v>
      </c>
      <c r="M25" s="45">
        <f>$B$1*$B$2+$B$3*84</f>
        <v>85</v>
      </c>
      <c r="N25" s="45">
        <f>$B$1*$B$2+$B$3*51</f>
        <v>52</v>
      </c>
      <c r="O25" s="45">
        <f>$B$1*$B$2+$B$3*26</f>
        <v>27</v>
      </c>
      <c r="P25" s="56">
        <f>$B$1*$B$2+$B$3*9</f>
        <v>10</v>
      </c>
      <c r="Q25" s="57">
        <f>$B$1*$B$2+$B$3*8</f>
        <v>9</v>
      </c>
      <c r="R25" s="58">
        <f>$B$1*$B$2+$B$3*7</f>
        <v>8</v>
      </c>
      <c r="S25" s="59">
        <f>$B$1*$B$2+$B$3*6</f>
        <v>7</v>
      </c>
      <c r="T25" s="52">
        <f>$B$1*$B$2+$B$3*19</f>
        <v>20</v>
      </c>
      <c r="U25" s="44">
        <f>$B$1*$B$2+$B$3*40</f>
        <v>41</v>
      </c>
      <c r="V25" s="44">
        <f>$B$1*$B$2+$B$3*69</f>
        <v>70</v>
      </c>
      <c r="W25" s="44">
        <f>$B$1*$B$2+$B$3*106</f>
        <v>107</v>
      </c>
      <c r="X25" s="44">
        <f>$B$1*$B$2+$B$3*151</f>
        <v>152</v>
      </c>
      <c r="Y25" s="44">
        <f>$B$1*$B$2+$B$3*204</f>
        <v>205</v>
      </c>
      <c r="Z25" s="44">
        <f>$B$1*$B$2+$B$3*265</f>
        <v>266</v>
      </c>
      <c r="AA25" s="44">
        <f>$B$1*$B$2+$B$3*334</f>
        <v>335</v>
      </c>
      <c r="AB25" s="44">
        <f>$B$1*$B$2+$B$3*411</f>
        <v>412</v>
      </c>
      <c r="AC25" s="44">
        <f>$B$1*$B$2+$B$3*496</f>
        <v>497</v>
      </c>
      <c r="AD25" s="44">
        <f>$B$1*$B$2+$B$3*589</f>
        <v>590</v>
      </c>
      <c r="AE25" s="44">
        <f>$B$1*$B$2+$B$3*690</f>
        <v>691</v>
      </c>
      <c r="AF25" s="44">
        <f>$B$1*$B$2+$B$3*799</f>
        <v>800</v>
      </c>
      <c r="AG25" s="44">
        <f>$B$1*$B$2+$B$3*916</f>
        <v>917</v>
      </c>
      <c r="AH25" s="43">
        <f>$B$1*$B$2+$B$3*1041</f>
        <v>1042</v>
      </c>
      <c r="AI25" s="75"/>
    </row>
    <row r="26" spans="1:35" ht="15.6" customHeight="1">
      <c r="B26" s="43">
        <f>$B$1*$B$2+$B$3*974</f>
        <v>975</v>
      </c>
      <c r="C26" s="43">
        <f>$B$1*$B$2+$B$3*853</f>
        <v>854</v>
      </c>
      <c r="D26" s="45">
        <f>$B$1*$B$2+$B$3*740</f>
        <v>741</v>
      </c>
      <c r="E26" s="45">
        <f>$B$1*$B$2+$B$3*635</f>
        <v>636</v>
      </c>
      <c r="F26" s="45">
        <f>$B$1*$B$2+$B$3*538</f>
        <v>539</v>
      </c>
      <c r="G26" s="45">
        <f>$B$1*$B$2+$B$3*449</f>
        <v>450</v>
      </c>
      <c r="H26" s="45">
        <f>$B$1*$B$2+$B$3*368</f>
        <v>369</v>
      </c>
      <c r="I26" s="45">
        <f>$B$1*$B$2+$B$3*295</f>
        <v>296</v>
      </c>
      <c r="J26" s="45">
        <f>$B$1*$B$2+$B$3*230</f>
        <v>231</v>
      </c>
      <c r="K26" s="45">
        <f>$B$1*$B$2+$B$3*173</f>
        <v>174</v>
      </c>
      <c r="L26" s="45">
        <f>$B$1*$B$2+$B$3*124</f>
        <v>125</v>
      </c>
      <c r="M26" s="45">
        <f>$B$1*$B$2+$B$3*83</f>
        <v>84</v>
      </c>
      <c r="N26" s="51">
        <f>$B$1*$B$2+$B$3*50</f>
        <v>51</v>
      </c>
      <c r="O26" s="60">
        <f>$B$1*$B$2+$B$3*25</f>
        <v>26</v>
      </c>
      <c r="P26" s="61">
        <f>$B$1*$B$2+$B$3*24</f>
        <v>25</v>
      </c>
      <c r="Q26" s="62">
        <f>$B$1*$B$2+$B$3*23</f>
        <v>24</v>
      </c>
      <c r="R26" s="58">
        <f>$B$1*$B$2+$B$3*22</f>
        <v>23</v>
      </c>
      <c r="S26" s="62">
        <f>$B$1*$B$2+$B$3*21</f>
        <v>22</v>
      </c>
      <c r="T26" s="59">
        <f>$B$1*$B$2+$B$3*20</f>
        <v>21</v>
      </c>
      <c r="U26" s="44">
        <f>$B$1*$B$2+$B$3*41</f>
        <v>42</v>
      </c>
      <c r="V26" s="52">
        <f>$B$1*$B$2+$B$3*70</f>
        <v>71</v>
      </c>
      <c r="W26" s="44">
        <f>$B$1*$B$2+$B$3*107</f>
        <v>108</v>
      </c>
      <c r="X26" s="44">
        <f>$B$1*$B$2+$B$3*152</f>
        <v>153</v>
      </c>
      <c r="Y26" s="44">
        <f>$B$1*$B$2+$B$3*205</f>
        <v>206</v>
      </c>
      <c r="Z26" s="44">
        <f>$B$1*$B$2+$B$3*266</f>
        <v>267</v>
      </c>
      <c r="AA26" s="44">
        <f>$B$1*$B$2+$B$3*335</f>
        <v>336</v>
      </c>
      <c r="AB26" s="44">
        <f>$B$1*$B$2+$B$3*412</f>
        <v>413</v>
      </c>
      <c r="AC26" s="44">
        <f>$B$1*$B$2+$B$3*497</f>
        <v>498</v>
      </c>
      <c r="AD26" s="44">
        <f>$B$1*$B$2+$B$3*590</f>
        <v>591</v>
      </c>
      <c r="AE26" s="44">
        <f>$B$1*$B$2+$B$3*691</f>
        <v>692</v>
      </c>
      <c r="AF26" s="44">
        <f>$B$1*$B$2+$B$3*800</f>
        <v>801</v>
      </c>
      <c r="AG26" s="44">
        <f>$B$1*$B$2+$B$3*917</f>
        <v>918</v>
      </c>
      <c r="AH26" s="43">
        <f>$B$1*$B$2+$B$3*1042</f>
        <v>1043</v>
      </c>
    </row>
    <row r="27" spans="1:35" ht="15.6" customHeight="1">
      <c r="B27" s="43">
        <f>$B$1*$B$2+$B$3*973</f>
        <v>974</v>
      </c>
      <c r="C27" s="43">
        <f>$B$1*$B$2+$B$3*852</f>
        <v>853</v>
      </c>
      <c r="D27" s="45">
        <f>$B$1*$B$2+$B$3*739</f>
        <v>740</v>
      </c>
      <c r="E27" s="45">
        <f>$B$1*$B$2+$B$3*634</f>
        <v>635</v>
      </c>
      <c r="F27" s="45">
        <f>$B$1*$B$2+$B$3*537</f>
        <v>538</v>
      </c>
      <c r="G27" s="45">
        <f>$B$1*$B$2+$B$3*448</f>
        <v>449</v>
      </c>
      <c r="H27" s="45">
        <f>$B$1*$B$2+$B$3*367</f>
        <v>368</v>
      </c>
      <c r="I27" s="45">
        <f>$B$1*$B$2+$B$3*294</f>
        <v>295</v>
      </c>
      <c r="J27" s="45">
        <f>$B$1*$B$2+$B$3*229</f>
        <v>230</v>
      </c>
      <c r="K27" s="45">
        <f>$B$1*$B$2+$B$3*172</f>
        <v>173</v>
      </c>
      <c r="L27" s="51">
        <f>$B$1*$B$2+$B$3*123</f>
        <v>124</v>
      </c>
      <c r="M27" s="45">
        <f>$B$1*$B$2+$B$3*82</f>
        <v>83</v>
      </c>
      <c r="N27" s="60">
        <f>$B$1*$B$2+$B$3*49</f>
        <v>50</v>
      </c>
      <c r="O27" s="61">
        <f>$B$1*$B$2+$B$3*48</f>
        <v>49</v>
      </c>
      <c r="P27" s="63">
        <f>$B$1*$B$2+$B$3*47</f>
        <v>48</v>
      </c>
      <c r="Q27" s="63">
        <f>$B$1*$B$2+$B$3*46</f>
        <v>47</v>
      </c>
      <c r="R27" s="58">
        <f>$B$1*$B$2+$B$3*45</f>
        <v>46</v>
      </c>
      <c r="S27" s="63">
        <f>$B$1*$B$2+$B$3*44</f>
        <v>45</v>
      </c>
      <c r="T27" s="63">
        <f>$B$1*$B$2+$B$3*43</f>
        <v>44</v>
      </c>
      <c r="U27" s="59">
        <f>$B$1*$B$2+$B$3*42</f>
        <v>43</v>
      </c>
      <c r="V27" s="44">
        <f>$B$1*$B$2+$B$3*71</f>
        <v>72</v>
      </c>
      <c r="W27" s="44">
        <f>$B$1*$B$2+$B$3*108</f>
        <v>109</v>
      </c>
      <c r="X27" s="52">
        <f>$B$1*$B$2+$B$3*153</f>
        <v>154</v>
      </c>
      <c r="Y27" s="44">
        <f>$B$1*$B$2+$B$3*206</f>
        <v>207</v>
      </c>
      <c r="Z27" s="44">
        <f>$B$1*$B$2+$B$3*267</f>
        <v>268</v>
      </c>
      <c r="AA27" s="44">
        <f>$B$1*$B$2+$B$3*336</f>
        <v>337</v>
      </c>
      <c r="AB27" s="44">
        <f>$B$1*$B$2+$B$3*413</f>
        <v>414</v>
      </c>
      <c r="AC27" s="44">
        <f>$B$1*$B$2+$B$3*498</f>
        <v>499</v>
      </c>
      <c r="AD27" s="44">
        <f>$B$1*$B$2+$B$3*591</f>
        <v>592</v>
      </c>
      <c r="AE27" s="44">
        <f>$B$1*$B$2+$B$3*692</f>
        <v>693</v>
      </c>
      <c r="AF27" s="44">
        <f>$B$1*$B$2+$B$3*801</f>
        <v>802</v>
      </c>
      <c r="AG27" s="44">
        <f>$B$1*$B$2+$B$3*918</f>
        <v>919</v>
      </c>
      <c r="AH27" s="43">
        <f>$B$1*$B$2+$B$3*1043</f>
        <v>1044</v>
      </c>
    </row>
    <row r="28" spans="1:35" ht="15.6" customHeight="1">
      <c r="B28" s="43">
        <f>$B$1*$B$2+$B$3*972</f>
        <v>973</v>
      </c>
      <c r="C28" s="43">
        <f>$B$1*$B$2+$B$3*851</f>
        <v>852</v>
      </c>
      <c r="D28" s="45">
        <f>$B$1*$B$2+$B$3*738</f>
        <v>739</v>
      </c>
      <c r="E28" s="45">
        <f>$B$1*$B$2+$B$3*633</f>
        <v>634</v>
      </c>
      <c r="F28" s="45">
        <f>$B$1*$B$2+$B$3*536</f>
        <v>537</v>
      </c>
      <c r="G28" s="45">
        <f>$B$1*$B$2+$B$3*447</f>
        <v>448</v>
      </c>
      <c r="H28" s="45">
        <f>$B$1*$B$2+$B$3*366</f>
        <v>367</v>
      </c>
      <c r="I28" s="45">
        <f>$B$1*$B$2+$B$3*293</f>
        <v>294</v>
      </c>
      <c r="J28" s="51">
        <f>$B$1*$B$2+$B$3*228</f>
        <v>229</v>
      </c>
      <c r="K28" s="45">
        <f>$B$1*$B$2+$B$3*171</f>
        <v>172</v>
      </c>
      <c r="L28" s="45">
        <f>$B$1*$B$2+$B$3*122</f>
        <v>123</v>
      </c>
      <c r="M28" s="60">
        <f>$B$1*$B$2+$B$3*81</f>
        <v>82</v>
      </c>
      <c r="N28" s="61">
        <f>$B$1*$B$2+$B$3*80</f>
        <v>81</v>
      </c>
      <c r="O28" s="63">
        <f>$B$1*$B$2+$B$3*79</f>
        <v>80</v>
      </c>
      <c r="P28" s="62">
        <f>$B$1*$B$2+$B$3*78</f>
        <v>79</v>
      </c>
      <c r="Q28" s="63">
        <f>$B$1*$B$2+$B$3*77</f>
        <v>78</v>
      </c>
      <c r="R28" s="58">
        <f>$B$1*$B$2+$B$3*76</f>
        <v>77</v>
      </c>
      <c r="S28" s="63">
        <f>$B$1*$B$2+$B$3*75</f>
        <v>76</v>
      </c>
      <c r="T28" s="62">
        <f>$B$1*$B$2+$B$3*74</f>
        <v>75</v>
      </c>
      <c r="U28" s="63">
        <f>$B$1*$B$2+$B$3*73</f>
        <v>74</v>
      </c>
      <c r="V28" s="59">
        <f>$B$1*$B$2+$B$3*72</f>
        <v>73</v>
      </c>
      <c r="W28" s="44">
        <f>$B$1*$B$2+$B$3*109</f>
        <v>110</v>
      </c>
      <c r="X28" s="44">
        <f>$B$1*$B$2+$B$3*154</f>
        <v>155</v>
      </c>
      <c r="Y28" s="44">
        <f>$B$1*$B$2+$B$3*207</f>
        <v>208</v>
      </c>
      <c r="Z28" s="52">
        <f>$B$1*$B$2+$B$3*268</f>
        <v>269</v>
      </c>
      <c r="AA28" s="44">
        <f>$B$1*$B$2+$B$3*337</f>
        <v>338</v>
      </c>
      <c r="AB28" s="44">
        <f>$B$1*$B$2+$B$3*414</f>
        <v>415</v>
      </c>
      <c r="AC28" s="44">
        <f>$B$1*$B$2+$B$3*499</f>
        <v>500</v>
      </c>
      <c r="AD28" s="44">
        <f>$B$1*$B$2+$B$3*592</f>
        <v>593</v>
      </c>
      <c r="AE28" s="44">
        <f>$B$1*$B$2+$B$3*693</f>
        <v>694</v>
      </c>
      <c r="AF28" s="44">
        <f>$B$1*$B$2+$B$3*802</f>
        <v>803</v>
      </c>
      <c r="AG28" s="44">
        <f>$B$1*$B$2+$B$3*919</f>
        <v>920</v>
      </c>
      <c r="AH28" s="43">
        <f>$B$1*$B$2+$B$3*1044</f>
        <v>1045</v>
      </c>
    </row>
    <row r="29" spans="1:35" ht="15.6" customHeight="1">
      <c r="B29" s="43">
        <f>$B$1*$B$2+$B$3*971</f>
        <v>972</v>
      </c>
      <c r="C29" s="43">
        <f>$B$1*$B$2+$B$3*850</f>
        <v>851</v>
      </c>
      <c r="D29" s="45">
        <f>$B$1*$B$2+$B$3*737</f>
        <v>738</v>
      </c>
      <c r="E29" s="45">
        <f>$B$1*$B$2+$B$3*632</f>
        <v>633</v>
      </c>
      <c r="F29" s="45">
        <f>$B$1*$B$2+$B$3*535</f>
        <v>536</v>
      </c>
      <c r="G29" s="45">
        <f>$B$1*$B$2+$B$3*446</f>
        <v>447</v>
      </c>
      <c r="H29" s="51">
        <f>$B$1*$B$2+$B$3*365</f>
        <v>366</v>
      </c>
      <c r="I29" s="45">
        <f>$B$1*$B$2+$B$3*292</f>
        <v>293</v>
      </c>
      <c r="J29" s="45">
        <f>$B$1*$B$2+$B$3*227</f>
        <v>228</v>
      </c>
      <c r="K29" s="45">
        <f>$B$1*$B$2+$B$3*170</f>
        <v>171</v>
      </c>
      <c r="L29" s="60">
        <f>$B$1*$B$2+$B$3*121</f>
        <v>122</v>
      </c>
      <c r="M29" s="61">
        <f>$B$1*$B$2+$B$3*120</f>
        <v>121</v>
      </c>
      <c r="N29" s="63">
        <f>$B$1*$B$2+$B$3*119</f>
        <v>120</v>
      </c>
      <c r="O29" s="63">
        <f>$B$1*$B$2+$B$3*118</f>
        <v>119</v>
      </c>
      <c r="P29" s="63">
        <f>$B$1*$B$2+$B$3*117</f>
        <v>118</v>
      </c>
      <c r="Q29" s="63">
        <f>$B$1*$B$2+$B$3*116</f>
        <v>117</v>
      </c>
      <c r="R29" s="58">
        <f>$B$1*$B$2+$B$3*115</f>
        <v>116</v>
      </c>
      <c r="S29" s="63">
        <f>$B$1*$B$2+$B$3*114</f>
        <v>115</v>
      </c>
      <c r="T29" s="63">
        <f>$B$1*$B$2+$B$3*113</f>
        <v>114</v>
      </c>
      <c r="U29" s="63">
        <f>$B$1*$B$2+$B$3*112</f>
        <v>113</v>
      </c>
      <c r="V29" s="63">
        <f>$B$1*$B$2+$B$3*111</f>
        <v>112</v>
      </c>
      <c r="W29" s="59">
        <f>$B$1*$B$2+$B$3*110</f>
        <v>111</v>
      </c>
      <c r="X29" s="44">
        <f>$B$1*$B$2+$B$3*155</f>
        <v>156</v>
      </c>
      <c r="Y29" s="44">
        <f>$B$1*$B$2+$B$3*208</f>
        <v>209</v>
      </c>
      <c r="Z29" s="44">
        <f>$B$1*$B$2+$B$3*269</f>
        <v>270</v>
      </c>
      <c r="AA29" s="44">
        <f>$B$1*$B$2+$B$3*338</f>
        <v>339</v>
      </c>
      <c r="AB29" s="52">
        <f>$B$1*$B$2+$B$3*415</f>
        <v>416</v>
      </c>
      <c r="AC29" s="44">
        <f>$B$1*$B$2+$B$3*500</f>
        <v>501</v>
      </c>
      <c r="AD29" s="44">
        <f>$B$1*$B$2+$B$3*593</f>
        <v>594</v>
      </c>
      <c r="AE29" s="44">
        <f>$B$1*$B$2+$B$3*694</f>
        <v>695</v>
      </c>
      <c r="AF29" s="44">
        <f>$B$1*$B$2+$B$3*803</f>
        <v>804</v>
      </c>
      <c r="AG29" s="44">
        <f>$B$1*$B$2+$B$3*920</f>
        <v>921</v>
      </c>
      <c r="AH29" s="43">
        <f>$B$1*$B$2+$B$3*1045</f>
        <v>1046</v>
      </c>
    </row>
    <row r="30" spans="1:35" ht="15.6" customHeight="1">
      <c r="B30" s="43">
        <f>$B$1*$B$2+$B$3*970</f>
        <v>971</v>
      </c>
      <c r="C30" s="43">
        <f>$B$1*$B$2+$B$3*849</f>
        <v>850</v>
      </c>
      <c r="D30" s="45">
        <f>$B$1*$B$2+$B$3*736</f>
        <v>737</v>
      </c>
      <c r="E30" s="45">
        <f>$B$1*$B$2+$B$3*631</f>
        <v>632</v>
      </c>
      <c r="F30" s="51">
        <f>$B$1*$B$2+$B$3*534</f>
        <v>535</v>
      </c>
      <c r="G30" s="45">
        <f>$B$1*$B$2+$B$3*445</f>
        <v>446</v>
      </c>
      <c r="H30" s="45">
        <f>$B$1*$B$2+$B$3*364</f>
        <v>365</v>
      </c>
      <c r="I30" s="45">
        <f>$B$1*$B$2+$B$3*291</f>
        <v>292</v>
      </c>
      <c r="J30" s="45">
        <f>$B$1*$B$2+$B$3*226</f>
        <v>227</v>
      </c>
      <c r="K30" s="60">
        <f>$B$1*$B$2+$B$3*169</f>
        <v>170</v>
      </c>
      <c r="L30" s="61">
        <f>$B$1*$B$2+$B$3*168</f>
        <v>169</v>
      </c>
      <c r="M30" s="63">
        <f>$B$1*$B$2+$B$3*167</f>
        <v>168</v>
      </c>
      <c r="N30" s="63">
        <f>$B$1*$B$2+$B$3*166</f>
        <v>167</v>
      </c>
      <c r="O30" s="62">
        <f>$B$1*$B$2+$B$3*165</f>
        <v>166</v>
      </c>
      <c r="P30" s="63">
        <f>$B$1*$B$2+$B$3*164</f>
        <v>165</v>
      </c>
      <c r="Q30" s="63">
        <f>$B$1*$B$2+$B$3*163</f>
        <v>164</v>
      </c>
      <c r="R30" s="58">
        <f>$B$1*$B$2+$B$3*162</f>
        <v>163</v>
      </c>
      <c r="S30" s="63">
        <f>$B$1*$B$2+$B$3*161</f>
        <v>162</v>
      </c>
      <c r="T30" s="63">
        <f>$B$1*$B$2+$B$3*160</f>
        <v>161</v>
      </c>
      <c r="U30" s="62">
        <f>$B$1*$B$2+$B$3*159</f>
        <v>160</v>
      </c>
      <c r="V30" s="63">
        <f>$B$1*$B$2+$B$3*158</f>
        <v>159</v>
      </c>
      <c r="W30" s="63">
        <f>$B$1*$B$2+$B$3*157</f>
        <v>158</v>
      </c>
      <c r="X30" s="59">
        <f>$B$1*$B$2+$B$3*156</f>
        <v>157</v>
      </c>
      <c r="Y30" s="44">
        <f>$B$1*$B$2+$B$3*209</f>
        <v>210</v>
      </c>
      <c r="Z30" s="44">
        <f>$B$1*$B$2+$B$3*270</f>
        <v>271</v>
      </c>
      <c r="AA30" s="44">
        <f>$B$1*$B$2+$B$3*339</f>
        <v>340</v>
      </c>
      <c r="AB30" s="44">
        <f>$B$1*$B$2+$B$3*416</f>
        <v>417</v>
      </c>
      <c r="AC30" s="44">
        <f>$B$1*$B$2+$B$3*501</f>
        <v>502</v>
      </c>
      <c r="AD30" s="52">
        <f>$B$1*$B$2+$B$3*594</f>
        <v>595</v>
      </c>
      <c r="AE30" s="44">
        <f>$B$1*$B$2+$B$3*695</f>
        <v>696</v>
      </c>
      <c r="AF30" s="44">
        <f>$B$1*$B$2+$B$3*804</f>
        <v>805</v>
      </c>
      <c r="AG30" s="44">
        <f>$B$1*$B$2+$B$3*921</f>
        <v>922</v>
      </c>
      <c r="AH30" s="43">
        <f>$B$1*$B$2+$B$3*1046</f>
        <v>1047</v>
      </c>
    </row>
    <row r="31" spans="1:35" ht="15.6" customHeight="1">
      <c r="B31" s="43">
        <f>$B$1*$B$2+$B$3*969</f>
        <v>970</v>
      </c>
      <c r="C31" s="43">
        <f>$B$1*$B$2+$B$3*848</f>
        <v>849</v>
      </c>
      <c r="D31" s="51">
        <f>$B$1*$B$2+$B$3*735</f>
        <v>736</v>
      </c>
      <c r="E31" s="45">
        <f>$B$1*$B$2+$B$3*630</f>
        <v>631</v>
      </c>
      <c r="F31" s="45">
        <f>$B$1*$B$2+$B$3*533</f>
        <v>534</v>
      </c>
      <c r="G31" s="45">
        <f>$B$1*$B$2+$B$3*444</f>
        <v>445</v>
      </c>
      <c r="H31" s="45">
        <f>$B$1*$B$2+$B$3*363</f>
        <v>364</v>
      </c>
      <c r="I31" s="45">
        <f>$B$1*$B$2+$B$3*290</f>
        <v>291</v>
      </c>
      <c r="J31" s="60">
        <f>$B$1*$B$2+$B$3*225</f>
        <v>226</v>
      </c>
      <c r="K31" s="61">
        <f>$B$1*$B$2+$B$3*224</f>
        <v>225</v>
      </c>
      <c r="L31" s="63">
        <f>$B$1*$B$2+$B$3*223</f>
        <v>224</v>
      </c>
      <c r="M31" s="63">
        <f>$B$1*$B$2+$B$3*222</f>
        <v>223</v>
      </c>
      <c r="N31" s="63">
        <f>$B$1*$B$2+$B$3*221</f>
        <v>222</v>
      </c>
      <c r="O31" s="63">
        <f>$B$1*$B$2+$B$3*220</f>
        <v>221</v>
      </c>
      <c r="P31" s="63">
        <f>$B$1*$B$2+$B$3*219</f>
        <v>220</v>
      </c>
      <c r="Q31" s="63">
        <f>$B$1*$B$2+$B$3*218</f>
        <v>219</v>
      </c>
      <c r="R31" s="58">
        <f>$B$1*$B$2+$B$3*217</f>
        <v>218</v>
      </c>
      <c r="S31" s="63">
        <f>$B$1*$B$2+$B$3*216</f>
        <v>217</v>
      </c>
      <c r="T31" s="63">
        <f>$B$1*$B$2+$B$3*215</f>
        <v>216</v>
      </c>
      <c r="U31" s="63">
        <f>$B$1*$B$2+$B$3*214</f>
        <v>215</v>
      </c>
      <c r="V31" s="63">
        <f>$B$1*$B$2+$B$3*213</f>
        <v>214</v>
      </c>
      <c r="W31" s="63">
        <f>$B$1*$B$2+$B$3*212</f>
        <v>213</v>
      </c>
      <c r="X31" s="63">
        <f>$B$1*$B$2+$B$3*211</f>
        <v>212</v>
      </c>
      <c r="Y31" s="59">
        <f>$B$1*$B$2+$B$3*210</f>
        <v>211</v>
      </c>
      <c r="Z31" s="44">
        <f>$B$1*$B$2+$B$3*271</f>
        <v>272</v>
      </c>
      <c r="AA31" s="44">
        <f>$B$1*$B$2+$B$3*340</f>
        <v>341</v>
      </c>
      <c r="AB31" s="44">
        <f>$B$1*$B$2+$B$3*417</f>
        <v>418</v>
      </c>
      <c r="AC31" s="44">
        <f>$B$1*$B$2+$B$3*502</f>
        <v>503</v>
      </c>
      <c r="AD31" s="44">
        <f>$B$1*$B$2+$B$3*595</f>
        <v>596</v>
      </c>
      <c r="AE31" s="44">
        <f>$B$1*$B$2+$B$3*696</f>
        <v>697</v>
      </c>
      <c r="AF31" s="52">
        <f>$B$1*$B$2+$B$3*805</f>
        <v>806</v>
      </c>
      <c r="AG31" s="44">
        <f>$B$1*$B$2+$B$3*922</f>
        <v>923</v>
      </c>
      <c r="AH31" s="43">
        <f>$B$1*$B$2+$B$3*1047</f>
        <v>1048</v>
      </c>
    </row>
    <row r="32" spans="1:35" ht="15.6" customHeight="1">
      <c r="A32" s="74" t="s">
        <v>26</v>
      </c>
      <c r="B32" s="50">
        <f>$B$1*$B$2+$B$3*968</f>
        <v>969</v>
      </c>
      <c r="C32" s="43">
        <f>$B$1*$B$2+$B$3*847</f>
        <v>848</v>
      </c>
      <c r="D32" s="45">
        <f>$B$1*$B$2+$B$3*734</f>
        <v>735</v>
      </c>
      <c r="E32" s="45">
        <f>$B$1*$B$2+$B$3*629</f>
        <v>630</v>
      </c>
      <c r="F32" s="45">
        <f>$B$1*$B$2+$B$3*532</f>
        <v>533</v>
      </c>
      <c r="G32" s="45">
        <f>$B$1*$B$2+$B$3*443</f>
        <v>444</v>
      </c>
      <c r="H32" s="43">
        <f>$B$1*$B$2+$B$3*362</f>
        <v>363</v>
      </c>
      <c r="I32" s="60">
        <f>$B$1*$B$2+$B$3*289</f>
        <v>290</v>
      </c>
      <c r="J32" s="61">
        <f>$B$1*$B$2+$B$3*288</f>
        <v>289</v>
      </c>
      <c r="K32" s="63">
        <f>$B$1*$B$2+$B$3*287</f>
        <v>288</v>
      </c>
      <c r="L32" s="63">
        <f>$B$1*$B$2+$B$3*286</f>
        <v>287</v>
      </c>
      <c r="M32" s="63">
        <f>$B$1*$B$2+$B$3*285</f>
        <v>286</v>
      </c>
      <c r="N32" s="62">
        <f>$B$1*$B$2+$B$3*284</f>
        <v>285</v>
      </c>
      <c r="O32" s="63">
        <f>$B$1*$B$2+$B$3*283</f>
        <v>284</v>
      </c>
      <c r="P32" s="63">
        <f>$B$1*$B$2+$B$3*282</f>
        <v>283</v>
      </c>
      <c r="Q32" s="63">
        <f>$B$1*$B$2+$B$3*281</f>
        <v>282</v>
      </c>
      <c r="R32" s="58">
        <f>$B$1*$B$2+$B$3*280</f>
        <v>281</v>
      </c>
      <c r="S32" s="63">
        <f>$B$1*$B$2+$B$3*279</f>
        <v>280</v>
      </c>
      <c r="T32" s="63">
        <f>$B$1*$B$2+$B$3*278</f>
        <v>279</v>
      </c>
      <c r="U32" s="63">
        <f>$B$1*$B$2+$B$3*277</f>
        <v>278</v>
      </c>
      <c r="V32" s="62">
        <f>$B$1*$B$2+$B$3*276</f>
        <v>277</v>
      </c>
      <c r="W32" s="63">
        <f>$B$1*$B$2+$B$3*275</f>
        <v>276</v>
      </c>
      <c r="X32" s="63">
        <f>$B$1*$B$2+$B$3*274</f>
        <v>275</v>
      </c>
      <c r="Y32" s="63">
        <f>$B$1*$B$2+$B$3*273</f>
        <v>274</v>
      </c>
      <c r="Z32" s="59">
        <f>$B$1*$B$2+$B$3*272</f>
        <v>273</v>
      </c>
      <c r="AA32" s="44">
        <f>$B$1*$B$2+$B$3*341</f>
        <v>342</v>
      </c>
      <c r="AB32" s="44">
        <f>$B$1*$B$2+$B$3*418</f>
        <v>419</v>
      </c>
      <c r="AC32" s="44">
        <f>$B$1*$B$2+$B$3*503</f>
        <v>504</v>
      </c>
      <c r="AD32" s="44">
        <f>$B$1*$B$2+$B$3*596</f>
        <v>597</v>
      </c>
      <c r="AE32" s="44">
        <f>$B$1*$B$2+$B$3*697</f>
        <v>698</v>
      </c>
      <c r="AF32" s="44">
        <f>$B$1*$B$2+$B$3*806</f>
        <v>807</v>
      </c>
      <c r="AG32" s="44">
        <f>$B$1*$B$2+$B$3*923</f>
        <v>924</v>
      </c>
      <c r="AH32" s="50">
        <f>$B$1*$B$2+$B$3*1048</f>
        <v>1049</v>
      </c>
      <c r="AI32" s="75" t="s">
        <v>27</v>
      </c>
    </row>
    <row r="33" spans="1:36" ht="15.6" customHeight="1">
      <c r="A33" s="74"/>
      <c r="B33" s="43">
        <f>$B$1*$B$2+$B$3*967</f>
        <v>968</v>
      </c>
      <c r="C33" s="43">
        <f>$B$1*$B$2+$B$3*846</f>
        <v>847</v>
      </c>
      <c r="D33" s="45">
        <f>$B$1*$B$2+$B$3*733</f>
        <v>734</v>
      </c>
      <c r="E33" s="45">
        <f>$B$1*$B$2+$B$3*628</f>
        <v>629</v>
      </c>
      <c r="F33" s="45">
        <f>$B$1*$B$2+$B$3*531</f>
        <v>532</v>
      </c>
      <c r="G33" s="45">
        <f>$B$1*$B$2+$B$3*442</f>
        <v>443</v>
      </c>
      <c r="H33" s="60">
        <f>$B$1*$B$2+$B$3*361</f>
        <v>362</v>
      </c>
      <c r="I33" s="61">
        <f>$B$1*$B$2+$B$3*360</f>
        <v>361</v>
      </c>
      <c r="J33" s="63">
        <f>$B$1*$B$2+$B$3*359</f>
        <v>360</v>
      </c>
      <c r="K33" s="63">
        <f>$B$1*$B$2+$B$3*358</f>
        <v>359</v>
      </c>
      <c r="L33" s="63">
        <f>$B$1*$B$2+$B$3*357</f>
        <v>358</v>
      </c>
      <c r="M33" s="63">
        <f>$B$1*$B$2+$B$3*356</f>
        <v>357</v>
      </c>
      <c r="N33" s="63">
        <f>$B$1*$B$2+$B$3*355</f>
        <v>356</v>
      </c>
      <c r="O33" s="63">
        <f>$B$1*$B$2+$B$3*354</f>
        <v>355</v>
      </c>
      <c r="P33" s="63">
        <f>$B$1*$B$2+$B$3*353</f>
        <v>354</v>
      </c>
      <c r="Q33" s="63">
        <f>$B$1*$B$2+$B$3*352</f>
        <v>353</v>
      </c>
      <c r="R33" s="58">
        <f>$B$1*$B$2+$B$3*351</f>
        <v>352</v>
      </c>
      <c r="S33" s="63">
        <f>$B$1*$B$2+$B$3*350</f>
        <v>351</v>
      </c>
      <c r="T33" s="63">
        <f>$B$1*$B$2+$B$3*349</f>
        <v>350</v>
      </c>
      <c r="U33" s="63">
        <f>$B$1*$B$2+$B$3*348</f>
        <v>349</v>
      </c>
      <c r="V33" s="63">
        <f>$B$1*$B$2+$B$3*347</f>
        <v>348</v>
      </c>
      <c r="W33" s="63">
        <f>$B$1*$B$2+$B$3*346</f>
        <v>347</v>
      </c>
      <c r="X33" s="63">
        <f>$B$1*$B$2+$B$3*345</f>
        <v>346</v>
      </c>
      <c r="Y33" s="63">
        <f>$B$1*$B$2+$B$3*344</f>
        <v>345</v>
      </c>
      <c r="Z33" s="63">
        <f>$B$1*$B$2+$B$3*343</f>
        <v>344</v>
      </c>
      <c r="AA33" s="59">
        <f>$B$1*$B$2+$B$3*342</f>
        <v>343</v>
      </c>
      <c r="AB33" s="44">
        <f>$B$1*$B$2+$B$3*419</f>
        <v>420</v>
      </c>
      <c r="AC33" s="44">
        <f>$B$1*$B$2+$B$3*504</f>
        <v>505</v>
      </c>
      <c r="AD33" s="44">
        <f>$B$1*$B$2+$B$3*597</f>
        <v>598</v>
      </c>
      <c r="AE33" s="44">
        <f>$B$1*$B$2+$B$3*698</f>
        <v>699</v>
      </c>
      <c r="AF33" s="44">
        <f>$B$1*$B$2+$B$3*807</f>
        <v>808</v>
      </c>
      <c r="AG33" s="44">
        <f>$B$1*$B$2+$B$3*924</f>
        <v>925</v>
      </c>
      <c r="AH33" s="43">
        <f>$B$1*$B$2+$B$3*1049</f>
        <v>1050</v>
      </c>
      <c r="AI33" s="75"/>
    </row>
    <row r="34" spans="1:36" ht="15.6" customHeight="1">
      <c r="B34" s="43">
        <f>$B$1*$B$2+$B$3*966</f>
        <v>967</v>
      </c>
      <c r="C34" s="43">
        <f>$B$1*$B$2+$B$3*845</f>
        <v>846</v>
      </c>
      <c r="D34" s="45">
        <f>$B$1*$B$2+$B$3*732</f>
        <v>733</v>
      </c>
      <c r="E34" s="45">
        <f>$B$1*$B$2+$B$3*627</f>
        <v>628</v>
      </c>
      <c r="F34" s="45">
        <f>$B$1*$B$2+$B$3*530</f>
        <v>531</v>
      </c>
      <c r="G34" s="60">
        <f>$B$1*$B$2+$B$3*441</f>
        <v>442</v>
      </c>
      <c r="H34" s="61">
        <f>$B$1*$B$2+$B$3*440</f>
        <v>441</v>
      </c>
      <c r="I34" s="63">
        <f>$B$1*$B$2+$B$3*439</f>
        <v>440</v>
      </c>
      <c r="J34" s="63">
        <f>$B$1*$B$2+$B$3*438</f>
        <v>439</v>
      </c>
      <c r="K34" s="63">
        <f>$B$1*$B$2+$B$3*437</f>
        <v>438</v>
      </c>
      <c r="L34" s="63">
        <f>$B$1*$B$2+$B$3*436</f>
        <v>437</v>
      </c>
      <c r="M34" s="62">
        <f>$B$1*$B$2+$B$3*435</f>
        <v>436</v>
      </c>
      <c r="N34" s="63">
        <f>$B$1*$B$2+$B$3*434</f>
        <v>435</v>
      </c>
      <c r="O34" s="63">
        <f>$B$1*$B$2+$B$3*433</f>
        <v>434</v>
      </c>
      <c r="P34" s="63">
        <f>$B$1*$B$2+$B$3*432</f>
        <v>433</v>
      </c>
      <c r="Q34" s="63">
        <f>$B$1*$B$2+$B$3*431</f>
        <v>432</v>
      </c>
      <c r="R34" s="58">
        <f>$B$1*$B$2+$B$3*430</f>
        <v>431</v>
      </c>
      <c r="S34" s="63">
        <f>$B$1*$B$2+$B$3*429</f>
        <v>430</v>
      </c>
      <c r="T34" s="63">
        <f>$B$1*$B$2+$B$3*428</f>
        <v>429</v>
      </c>
      <c r="U34" s="63">
        <f>$B$1*$B$2+$B$3*427</f>
        <v>428</v>
      </c>
      <c r="V34" s="63">
        <f>$B$1*$B$2+$B$3*426</f>
        <v>427</v>
      </c>
      <c r="W34" s="62">
        <f>$B$1*$B$2+$B$3*425</f>
        <v>426</v>
      </c>
      <c r="X34" s="63">
        <f>$B$1*$B$2+$B$3*424</f>
        <v>425</v>
      </c>
      <c r="Y34" s="63">
        <f>$B$1*$B$2+$B$3*423</f>
        <v>424</v>
      </c>
      <c r="Z34" s="63">
        <f>$B$1*$B$2+$B$3*422</f>
        <v>423</v>
      </c>
      <c r="AA34" s="63">
        <f>$B$1*$B$2+$B$3*421</f>
        <v>422</v>
      </c>
      <c r="AB34" s="59">
        <f>$B$1*$B$2+$B$3*420</f>
        <v>421</v>
      </c>
      <c r="AC34" s="44">
        <f>$B$1*$B$2+$B$3*505</f>
        <v>506</v>
      </c>
      <c r="AD34" s="44">
        <f>$B$1*$B$2+$B$3*598</f>
        <v>599</v>
      </c>
      <c r="AE34" s="44">
        <f>$B$1*$B$2+$B$3*699</f>
        <v>700</v>
      </c>
      <c r="AF34" s="44">
        <f>$B$1*$B$2+$B$3*808</f>
        <v>809</v>
      </c>
      <c r="AG34" s="44">
        <f>$B$1*$B$2+$B$3*925</f>
        <v>926</v>
      </c>
      <c r="AH34" s="43">
        <f>$B$1*$B$2+$B$3*1050</f>
        <v>1051</v>
      </c>
    </row>
    <row r="35" spans="1:36" ht="15.6" customHeight="1">
      <c r="B35" s="43">
        <f>$B$1*$B$2+$B$3*965</f>
        <v>966</v>
      </c>
      <c r="C35" s="43">
        <f>$B$1*$B$2+$B$3*844</f>
        <v>845</v>
      </c>
      <c r="D35" s="45">
        <f>$B$1*$B$2+$B$3*731</f>
        <v>732</v>
      </c>
      <c r="E35" s="45">
        <f>$B$1*$B$2+$B$3*626</f>
        <v>627</v>
      </c>
      <c r="F35" s="60">
        <f>$B$1*$B$2+$B$3*529</f>
        <v>530</v>
      </c>
      <c r="G35" s="61">
        <f>$B$1*$B$2+$B$3*528</f>
        <v>529</v>
      </c>
      <c r="H35" s="63">
        <f>$B$1*$B$2+$B$3*527</f>
        <v>528</v>
      </c>
      <c r="I35" s="63">
        <f>$B$1*$B$2+$B$3*526</f>
        <v>527</v>
      </c>
      <c r="J35" s="63">
        <f>$B$1*$B$2+$B$3*525</f>
        <v>526</v>
      </c>
      <c r="K35" s="63">
        <f>$B$1*$B$2+$B$3*524</f>
        <v>525</v>
      </c>
      <c r="L35" s="63">
        <f>$B$1*$B$2+$B$3*523</f>
        <v>524</v>
      </c>
      <c r="M35" s="63">
        <f>$B$1*$B$2+$B$3*522</f>
        <v>523</v>
      </c>
      <c r="N35" s="63">
        <f>$B$1*$B$2+$B$3*521</f>
        <v>522</v>
      </c>
      <c r="O35" s="63">
        <f>$B$1*$B$2+$B$3*520</f>
        <v>521</v>
      </c>
      <c r="P35" s="63">
        <f>$B$1*$B$2+$B$3*519</f>
        <v>520</v>
      </c>
      <c r="Q35" s="63">
        <f>$B$1*$B$2+$B$3*518</f>
        <v>519</v>
      </c>
      <c r="R35" s="58">
        <f>$B$1*$B$2+$B$3*517</f>
        <v>518</v>
      </c>
      <c r="S35" s="63">
        <f>$B$1*$B$2+$B$3*516</f>
        <v>517</v>
      </c>
      <c r="T35" s="63">
        <f>$B$1*$B$2+$B$3*515</f>
        <v>516</v>
      </c>
      <c r="U35" s="63">
        <f>$B$1*$B$2+$B$3*514</f>
        <v>515</v>
      </c>
      <c r="V35" s="63">
        <f>$B$1*$B$2+$B$3*513</f>
        <v>514</v>
      </c>
      <c r="W35" s="63">
        <f>$B$1*$B$2+$B$3*512</f>
        <v>513</v>
      </c>
      <c r="X35" s="63">
        <f>$B$1*$B$2+$B$3*511</f>
        <v>512</v>
      </c>
      <c r="Y35" s="63">
        <f>$B$1*$B$2+$B$3*510</f>
        <v>511</v>
      </c>
      <c r="Z35" s="63">
        <f>$B$1*$B$2+$B$3*509</f>
        <v>510</v>
      </c>
      <c r="AA35" s="63">
        <f>$B$1*$B$2+$B$3*508</f>
        <v>509</v>
      </c>
      <c r="AB35" s="63">
        <f>$B$1*$B$2+$B$3*507</f>
        <v>508</v>
      </c>
      <c r="AC35" s="59">
        <f>$B$1*$B$2+$B$3*506</f>
        <v>507</v>
      </c>
      <c r="AD35" s="44">
        <f>$B$1*$B$2+$B$3*599</f>
        <v>600</v>
      </c>
      <c r="AE35" s="44">
        <f>$B$1*$B$2+$B$3*700</f>
        <v>701</v>
      </c>
      <c r="AF35" s="44">
        <f>$B$1*$B$2+$B$3*809</f>
        <v>810</v>
      </c>
      <c r="AG35" s="44">
        <f>$B$1*$B$2+$B$3*926</f>
        <v>927</v>
      </c>
      <c r="AH35" s="43">
        <f>$B$1*$B$2+$B$3*1051</f>
        <v>1052</v>
      </c>
    </row>
    <row r="36" spans="1:36" ht="15.6" customHeight="1">
      <c r="B36" s="43">
        <f>$B$1*$B$2+$B$3*964</f>
        <v>965</v>
      </c>
      <c r="C36" s="43">
        <f>$B$1*$B$2+$B$3*843</f>
        <v>844</v>
      </c>
      <c r="D36" s="45">
        <f>$B$1*$B$2+$B$3*730</f>
        <v>731</v>
      </c>
      <c r="E36" s="60">
        <f>$B$1*$B$2+$B$3*625</f>
        <v>626</v>
      </c>
      <c r="F36" s="61">
        <f>$B$1*$B$2+$B$3*624</f>
        <v>625</v>
      </c>
      <c r="G36" s="63">
        <f>$B$1*$B$2+$B$3*623</f>
        <v>624</v>
      </c>
      <c r="H36" s="63">
        <f>$B$1*$B$2+$B$3*622</f>
        <v>623</v>
      </c>
      <c r="I36" s="63">
        <f>$B$1*$B$2+$B$3*621</f>
        <v>622</v>
      </c>
      <c r="J36" s="63">
        <f>$B$1*$B$2+$B$3*620</f>
        <v>621</v>
      </c>
      <c r="K36" s="63">
        <f>$B$1*$B$2+$B$3*619</f>
        <v>620</v>
      </c>
      <c r="L36" s="62">
        <f>$B$1*$B$2+$B$3*618</f>
        <v>619</v>
      </c>
      <c r="M36" s="63">
        <f>$B$1*$B$2+$B$3*617</f>
        <v>618</v>
      </c>
      <c r="N36" s="63">
        <f>$B$1*$B$2+$B$3*616</f>
        <v>617</v>
      </c>
      <c r="O36" s="63">
        <f>$B$1*$B$2+$B$3*615</f>
        <v>616</v>
      </c>
      <c r="P36" s="63">
        <f>$B$1*$B$2+$B$3*614</f>
        <v>615</v>
      </c>
      <c r="Q36" s="63">
        <f>$B$1*$B$2+$B$3*613</f>
        <v>614</v>
      </c>
      <c r="R36" s="58">
        <f>$B$1*$B$2+$B$3*612</f>
        <v>613</v>
      </c>
      <c r="S36" s="63">
        <f>$B$1*$B$2+$B$3*611</f>
        <v>612</v>
      </c>
      <c r="T36" s="63">
        <f>$B$1*$B$2+$B$3*610</f>
        <v>611</v>
      </c>
      <c r="U36" s="63">
        <f>$B$1*$B$2+$B$3*609</f>
        <v>610</v>
      </c>
      <c r="V36" s="63">
        <f>$B$1*$B$2+$B$3*608</f>
        <v>609</v>
      </c>
      <c r="W36" s="63">
        <f>$B$1*$B$2+$B$3*607</f>
        <v>608</v>
      </c>
      <c r="X36" s="62">
        <f>$B$1*$B$2+$B$3*606</f>
        <v>607</v>
      </c>
      <c r="Y36" s="63">
        <f>$B$1*$B$2+$B$3*605</f>
        <v>606</v>
      </c>
      <c r="Z36" s="63">
        <f>$B$1*$B$2+$B$3*604</f>
        <v>605</v>
      </c>
      <c r="AA36" s="63">
        <f>$B$1*$B$2+$B$3*603</f>
        <v>604</v>
      </c>
      <c r="AB36" s="63">
        <f>$B$1*$B$2+$B$3*602</f>
        <v>603</v>
      </c>
      <c r="AC36" s="63">
        <f>$B$1*$B$2+$B$3*601</f>
        <v>602</v>
      </c>
      <c r="AD36" s="59">
        <f>$B$1*$B$2+$B$3*600</f>
        <v>601</v>
      </c>
      <c r="AE36" s="44">
        <f>$B$1*$B$2+$B$3*701</f>
        <v>702</v>
      </c>
      <c r="AF36" s="44">
        <f>$B$1*$B$2+$B$3*810</f>
        <v>811</v>
      </c>
      <c r="AG36" s="44">
        <f>$B$1*$B$2+$B$3*927</f>
        <v>928</v>
      </c>
      <c r="AH36" s="43">
        <f>$B$1*$B$2+$B$3*1052</f>
        <v>1053</v>
      </c>
    </row>
    <row r="37" spans="1:36" ht="15.6" customHeight="1">
      <c r="B37" s="43">
        <f>$B$1*$B$2+$B$3*963</f>
        <v>964</v>
      </c>
      <c r="C37" s="43">
        <f>$B$1*$B$2+$B$3*842</f>
        <v>843</v>
      </c>
      <c r="D37" s="60">
        <f>$B$1*$B$2+$B$3*729</f>
        <v>730</v>
      </c>
      <c r="E37" s="61">
        <f>$B$1*$B$2+$B$3*728</f>
        <v>729</v>
      </c>
      <c r="F37" s="63">
        <f>$B$1*$B$2+$B$3*727</f>
        <v>728</v>
      </c>
      <c r="G37" s="63">
        <f>$B$1*$B$2+$B$3*726</f>
        <v>727</v>
      </c>
      <c r="H37" s="63">
        <f>$B$1*$B$2+$B$3*725</f>
        <v>726</v>
      </c>
      <c r="I37" s="63">
        <f>$B$1*$B$2+$B$3*724</f>
        <v>725</v>
      </c>
      <c r="J37" s="63">
        <f>$B$1*$B$2+$B$3*723</f>
        <v>724</v>
      </c>
      <c r="K37" s="63">
        <f>$B$1*$B$2+$B$3*722</f>
        <v>723</v>
      </c>
      <c r="L37" s="63">
        <f>$B$1*$B$2+$B$3*721</f>
        <v>722</v>
      </c>
      <c r="M37" s="63">
        <f>$B$1*$B$2+$B$3*720</f>
        <v>721</v>
      </c>
      <c r="N37" s="63">
        <f>$B$1*$B$2+$B$3*719</f>
        <v>720</v>
      </c>
      <c r="O37" s="63">
        <f>$B$1*$B$2+$B$3*718</f>
        <v>719</v>
      </c>
      <c r="P37" s="63">
        <f>$B$1*$B$2+$B$3*717</f>
        <v>718</v>
      </c>
      <c r="Q37" s="63">
        <f>$B$1*$B$2+$B$3*716</f>
        <v>717</v>
      </c>
      <c r="R37" s="58">
        <f>$B$1*$B$2+$B$3*715</f>
        <v>716</v>
      </c>
      <c r="S37" s="63">
        <f>$B$1*$B$2+$B$3*714</f>
        <v>715</v>
      </c>
      <c r="T37" s="63">
        <f>$B$1*$B$2+$B$3*713</f>
        <v>714</v>
      </c>
      <c r="U37" s="63">
        <f>$B$1*$B$2+$B$3*712</f>
        <v>713</v>
      </c>
      <c r="V37" s="63">
        <f>$B$1*$B$2+$B$3*711</f>
        <v>712</v>
      </c>
      <c r="W37" s="63">
        <f>$B$1*$B$2+$B$3*710</f>
        <v>711</v>
      </c>
      <c r="X37" s="63">
        <f>$B$1*$B$2+$B$3*709</f>
        <v>710</v>
      </c>
      <c r="Y37" s="63">
        <f>$B$1*$B$2+$B$3*708</f>
        <v>709</v>
      </c>
      <c r="Z37" s="63">
        <f>$B$1*$B$2+$B$3*707</f>
        <v>708</v>
      </c>
      <c r="AA37" s="63">
        <f>$B$1*$B$2+$B$3*706</f>
        <v>707</v>
      </c>
      <c r="AB37" s="63">
        <f>$B$1*$B$2+$B$3*705</f>
        <v>706</v>
      </c>
      <c r="AC37" s="63">
        <f>$B$1*$B$2+$B$3*704</f>
        <v>705</v>
      </c>
      <c r="AD37" s="63">
        <f>$B$1*$B$2+$B$3*703</f>
        <v>704</v>
      </c>
      <c r="AE37" s="59">
        <f>$B$1*$B$2+$B$3*702</f>
        <v>703</v>
      </c>
      <c r="AF37" s="44">
        <f>$B$1*$B$2+$B$3*811</f>
        <v>812</v>
      </c>
      <c r="AG37" s="44">
        <f>$B$1*$B$2+$B$3*928</f>
        <v>929</v>
      </c>
      <c r="AH37" s="43">
        <f>$B$1*$B$2+$B$3*1053</f>
        <v>1054</v>
      </c>
    </row>
    <row r="38" spans="1:36" ht="15.6" customHeight="1">
      <c r="B38" s="43">
        <f>$B$1*$B$2+$B$3*962</f>
        <v>963</v>
      </c>
      <c r="C38" s="60">
        <f>$B$1*$B$2+$B$3*841</f>
        <v>842</v>
      </c>
      <c r="D38" s="61">
        <f>$B$1*$B$2+$B$3*840</f>
        <v>841</v>
      </c>
      <c r="E38" s="63">
        <f>$B$1*$B$2+$B$3*839</f>
        <v>840</v>
      </c>
      <c r="F38" s="63">
        <f>$B$1*$B$2+$B$3*838</f>
        <v>839</v>
      </c>
      <c r="G38" s="63">
        <f>$B$1*$B$2+$B$3*837</f>
        <v>838</v>
      </c>
      <c r="H38" s="63">
        <f>$B$1*$B$2+$B$3*836</f>
        <v>837</v>
      </c>
      <c r="I38" s="63">
        <f>$B$1*$B$2+$B$3*835</f>
        <v>836</v>
      </c>
      <c r="J38" s="63">
        <f>$B$1*$B$2+$B$3*834</f>
        <v>835</v>
      </c>
      <c r="K38" s="62">
        <f>$B$1*$B$2+$B$3*833</f>
        <v>834</v>
      </c>
      <c r="L38" s="63">
        <f>$B$1*$B$2+$B$3*832</f>
        <v>833</v>
      </c>
      <c r="M38" s="63">
        <f>$B$1*$B$2+$B$3*831</f>
        <v>832</v>
      </c>
      <c r="N38" s="63">
        <f>$B$1*$B$2+$B$3*830</f>
        <v>831</v>
      </c>
      <c r="O38" s="63">
        <f>$B$1*$B$2+$B$3*829</f>
        <v>830</v>
      </c>
      <c r="P38" s="63">
        <f>$B$1*$B$2+$B$3*828</f>
        <v>829</v>
      </c>
      <c r="Q38" s="63">
        <f>$B$1*$B$2+$B$3*827</f>
        <v>828</v>
      </c>
      <c r="R38" s="58">
        <f>$B$1*$B$2+$B$3*826</f>
        <v>827</v>
      </c>
      <c r="S38" s="63">
        <f>$B$1*$B$2+$B$3*825</f>
        <v>826</v>
      </c>
      <c r="T38" s="63">
        <f>$B$1*$B$2+$B$3*824</f>
        <v>825</v>
      </c>
      <c r="U38" s="63">
        <f>$B$1*$B$2+$B$3*823</f>
        <v>824</v>
      </c>
      <c r="V38" s="63">
        <f>$B$1*$B$2+$B$3*822</f>
        <v>823</v>
      </c>
      <c r="W38" s="63">
        <f>$B$1*$B$2+$B$3*821</f>
        <v>822</v>
      </c>
      <c r="X38" s="63">
        <f>$B$1*$B$2+$B$3*820</f>
        <v>821</v>
      </c>
      <c r="Y38" s="62">
        <f>$B$1*$B$2+$B$3*819</f>
        <v>820</v>
      </c>
      <c r="Z38" s="63">
        <f>$B$1*$B$2+$B$3*818</f>
        <v>819</v>
      </c>
      <c r="AA38" s="63">
        <f>$B$1*$B$2+$B$3*817</f>
        <v>818</v>
      </c>
      <c r="AB38" s="63">
        <f>$B$1*$B$2+$B$3*816</f>
        <v>817</v>
      </c>
      <c r="AC38" s="63">
        <f>$B$1*$B$2+$B$3*815</f>
        <v>816</v>
      </c>
      <c r="AD38" s="63">
        <f>$B$1*$B$2+$B$3*814</f>
        <v>815</v>
      </c>
      <c r="AE38" s="63">
        <f>$B$1*$B$2+$B$3*813</f>
        <v>814</v>
      </c>
      <c r="AF38" s="59">
        <f>$B$1*$B$2+$B$3*812</f>
        <v>813</v>
      </c>
      <c r="AG38" s="44">
        <f>$B$1*$B$2+$B$3*929</f>
        <v>930</v>
      </c>
      <c r="AH38" s="43">
        <f>$B$1*$B$2+$B$3*1054</f>
        <v>1055</v>
      </c>
    </row>
    <row r="39" spans="1:36" ht="15.6" customHeight="1">
      <c r="B39" s="60">
        <f>$B$1*$B$2+$B$3*961</f>
        <v>962</v>
      </c>
      <c r="C39" s="61">
        <f>$B$1*$B$2+$B$3*960</f>
        <v>961</v>
      </c>
      <c r="D39" s="63">
        <f>$B$1*$B$2+$B$3*959</f>
        <v>960</v>
      </c>
      <c r="E39" s="63">
        <f>$B$1*$B$2+$B$3*958</f>
        <v>959</v>
      </c>
      <c r="F39" s="63">
        <f>$B$1*$B$2+$B$3*957</f>
        <v>958</v>
      </c>
      <c r="G39" s="63">
        <f>$B$1*$B$2+$B$3*956</f>
        <v>957</v>
      </c>
      <c r="H39" s="63">
        <f>$B$1*$B$2+$B$3*955</f>
        <v>956</v>
      </c>
      <c r="I39" s="63">
        <f>$B$1*$B$2+$B$3*954</f>
        <v>955</v>
      </c>
      <c r="J39" s="63">
        <f>$B$1*$B$2+$B$3*953</f>
        <v>954</v>
      </c>
      <c r="K39" s="63">
        <f>$B$1*$B$2+$B$3*952</f>
        <v>953</v>
      </c>
      <c r="L39" s="63">
        <f>$B$1*$B$2+$B$3*951</f>
        <v>952</v>
      </c>
      <c r="M39" s="63">
        <f>$B$1*$B$2+$B$3*950</f>
        <v>951</v>
      </c>
      <c r="N39" s="63">
        <f>$B$1*$B$2+$B$3*949</f>
        <v>950</v>
      </c>
      <c r="O39" s="63">
        <f>$B$1*$B$2+$B$3*948</f>
        <v>949</v>
      </c>
      <c r="P39" s="63">
        <f>$B$1*$B$2+$B$3*947</f>
        <v>948</v>
      </c>
      <c r="Q39" s="63">
        <f>$B$1*$B$2+$B$3*946</f>
        <v>947</v>
      </c>
      <c r="R39" s="58">
        <f>$B$1*$B$2+$B$3*945</f>
        <v>946</v>
      </c>
      <c r="S39" s="63">
        <f>$B$1*$B$2+$B$3*944</f>
        <v>945</v>
      </c>
      <c r="T39" s="63">
        <f>$B$1*$B$2+$B$3*943</f>
        <v>944</v>
      </c>
      <c r="U39" s="63">
        <f>$B$1*$B$2+$B$3*942</f>
        <v>943</v>
      </c>
      <c r="V39" s="63">
        <f>$B$1*$B$2+$B$3*941</f>
        <v>942</v>
      </c>
      <c r="W39" s="63">
        <f>$B$1*$B$2+$B$3*940</f>
        <v>941</v>
      </c>
      <c r="X39" s="63">
        <f>$B$1*$B$2+$B$3*939</f>
        <v>940</v>
      </c>
      <c r="Y39" s="63">
        <f>$B$1*$B$2+$B$3*938</f>
        <v>939</v>
      </c>
      <c r="Z39" s="63">
        <f>$B$1*$B$2+$B$3*937</f>
        <v>938</v>
      </c>
      <c r="AA39" s="63">
        <f>$B$1*$B$2+$B$3*936</f>
        <v>937</v>
      </c>
      <c r="AB39" s="63">
        <f>$B$1*$B$2+$B$3*935</f>
        <v>936</v>
      </c>
      <c r="AC39" s="63">
        <f>$B$1*$B$2+$B$3*934</f>
        <v>935</v>
      </c>
      <c r="AD39" s="63">
        <f>$B$1*$B$2+$B$3*933</f>
        <v>934</v>
      </c>
      <c r="AE39" s="63">
        <f>$B$1*$B$2+$B$3*932</f>
        <v>933</v>
      </c>
      <c r="AF39" s="63">
        <f>$B$1*$B$2+$B$3*931</f>
        <v>932</v>
      </c>
      <c r="AG39" s="59">
        <f>$B$1*$B$2+$B$3*930</f>
        <v>931</v>
      </c>
      <c r="AH39" s="43">
        <f>$B$1*$B$2+$B$3*1055</f>
        <v>1056</v>
      </c>
    </row>
    <row r="40" spans="1:36" ht="15.6" customHeight="1">
      <c r="A40" s="64"/>
      <c r="B40" s="65">
        <f>$B$1*$B$2+$B$3*1088</f>
        <v>1089</v>
      </c>
      <c r="C40" s="37">
        <f>$B$1*$B$2+$B$3*1087</f>
        <v>1088</v>
      </c>
      <c r="D40" s="37">
        <f>$B$1*$B$2+$B$3*1086</f>
        <v>1087</v>
      </c>
      <c r="E40" s="37">
        <f>$B$1*$B$2+$B$3*1085</f>
        <v>1086</v>
      </c>
      <c r="F40" s="37">
        <f>$B$1*$B$2+$B$3*1084</f>
        <v>1085</v>
      </c>
      <c r="G40" s="37">
        <f>$B$1*$B$2+$B$3*1083</f>
        <v>1084</v>
      </c>
      <c r="H40" s="37">
        <f>$B$1*$B$2+$B$3*1082</f>
        <v>1083</v>
      </c>
      <c r="I40" s="37">
        <f>$B$1*$B$2+$B$3*1081</f>
        <v>1082</v>
      </c>
      <c r="J40" s="38">
        <f>$B$1*$B$2+$B$3*1080</f>
        <v>1081</v>
      </c>
      <c r="K40" s="37">
        <f>$B$1*$B$2+$B$3*1079</f>
        <v>1080</v>
      </c>
      <c r="L40" s="37">
        <f>$B$1*$B$2+$B$3*1078</f>
        <v>1079</v>
      </c>
      <c r="M40" s="37">
        <f>$B$1*$B$2+$B$3*1077</f>
        <v>1078</v>
      </c>
      <c r="N40" s="37">
        <f>$B$1*$B$2+$B$3*1076</f>
        <v>1077</v>
      </c>
      <c r="O40" s="37">
        <f>$B$1*$B$2+$B$3*1075</f>
        <v>1076</v>
      </c>
      <c r="P40" s="37">
        <f>$B$1*$B$2+$B$3*1074</f>
        <v>1075</v>
      </c>
      <c r="Q40" s="37">
        <f>$B$1*$B$2+$B$3*1073</f>
        <v>1074</v>
      </c>
      <c r="R40" s="39">
        <f>$B$1*$B$2+$B$3*1072</f>
        <v>1073</v>
      </c>
      <c r="S40" s="37">
        <f>$B$1*$B$2+$B$3*1071</f>
        <v>1072</v>
      </c>
      <c r="T40" s="37">
        <f>$B$1*$B$2+$B$3*1070</f>
        <v>1071</v>
      </c>
      <c r="U40" s="37">
        <f>$B$1*$B$2+$B$3*1069</f>
        <v>1070</v>
      </c>
      <c r="V40" s="37">
        <f>$B$1*$B$2+$B$3*1068</f>
        <v>1069</v>
      </c>
      <c r="W40" s="37">
        <f>$B$1*$B$2+$B$3*1067</f>
        <v>1068</v>
      </c>
      <c r="X40" s="37">
        <f>$B$1*$B$2+$B$3*1066</f>
        <v>1067</v>
      </c>
      <c r="Y40" s="37">
        <f>$B$1*$B$2+$B$3*1065</f>
        <v>1066</v>
      </c>
      <c r="Z40" s="38">
        <f>$B$1*$B$2+$B$3*1064</f>
        <v>1065</v>
      </c>
      <c r="AA40" s="37">
        <f>$B$1*$B$2+$B$3*1063</f>
        <v>1064</v>
      </c>
      <c r="AB40" s="37">
        <f>$B$1*$B$2+$B$3*1062</f>
        <v>1063</v>
      </c>
      <c r="AC40" s="37">
        <f>$B$1*$B$2+$B$3*1061</f>
        <v>1062</v>
      </c>
      <c r="AD40" s="37">
        <f>$B$1*$B$2+$B$3*1060</f>
        <v>1061</v>
      </c>
      <c r="AE40" s="37">
        <f>$B$1*$B$2+$B$3*1059</f>
        <v>1060</v>
      </c>
      <c r="AF40" s="37">
        <f>$B$1*$B$2+$B$3*1058</f>
        <v>1059</v>
      </c>
      <c r="AG40" s="37">
        <f>$B$1*$B$2+$B$3*1057</f>
        <v>1058</v>
      </c>
      <c r="AH40" s="59">
        <f>$B$1*$B$2+$B$3*1056</f>
        <v>1057</v>
      </c>
    </row>
    <row r="41" spans="1:36" ht="15" customHeight="1">
      <c r="A41" s="70" t="s">
        <v>28</v>
      </c>
      <c r="B41" s="70"/>
      <c r="C41" s="70"/>
      <c r="I41" s="76" t="s">
        <v>29</v>
      </c>
      <c r="J41" s="76"/>
      <c r="K41" s="76"/>
      <c r="Q41" s="76" t="s">
        <v>30</v>
      </c>
      <c r="R41" s="76"/>
      <c r="S41" s="76"/>
      <c r="Y41" s="76" t="s">
        <v>31</v>
      </c>
      <c r="Z41" s="76"/>
      <c r="AA41" s="76"/>
      <c r="AG41" s="70" t="s">
        <v>32</v>
      </c>
      <c r="AH41" s="70"/>
      <c r="AI41" s="70"/>
      <c r="AJ41" s="66"/>
    </row>
    <row r="42" spans="1:36" ht="15.75" customHeight="1">
      <c r="A42" s="71" t="s">
        <v>14</v>
      </c>
      <c r="B42" s="71"/>
      <c r="C42" s="71"/>
      <c r="I42" s="71" t="s">
        <v>13</v>
      </c>
      <c r="J42" s="71"/>
      <c r="K42" s="71"/>
      <c r="Q42" s="71">
        <v>0</v>
      </c>
      <c r="R42" s="71"/>
      <c r="S42" s="71"/>
      <c r="Y42" s="71">
        <v>0.9375</v>
      </c>
      <c r="Z42" s="71"/>
      <c r="AA42" s="71"/>
      <c r="AG42" s="72" t="s">
        <v>33</v>
      </c>
      <c r="AH42" s="72"/>
      <c r="AI42" s="72"/>
      <c r="AJ42" s="67"/>
    </row>
    <row r="43" spans="1:36" ht="15" customHeight="1">
      <c r="A43" s="69" t="s">
        <v>34</v>
      </c>
      <c r="B43" s="69"/>
      <c r="C43" s="69"/>
      <c r="I43" s="69" t="s">
        <v>35</v>
      </c>
      <c r="J43" s="69"/>
      <c r="K43" s="69"/>
      <c r="Q43" s="69" t="s">
        <v>36</v>
      </c>
      <c r="R43" s="69"/>
      <c r="S43" s="69"/>
      <c r="Y43" s="69" t="s">
        <v>37</v>
      </c>
      <c r="Z43" s="69"/>
      <c r="AA43" s="69"/>
      <c r="AG43" s="69" t="s">
        <v>38</v>
      </c>
      <c r="AH43" s="69"/>
      <c r="AI43" s="69"/>
      <c r="AJ43" s="32"/>
    </row>
    <row r="44" spans="1:36" ht="15" customHeight="1">
      <c r="Q44" s="69" t="s">
        <v>39</v>
      </c>
      <c r="R44" s="69"/>
      <c r="S44" s="69"/>
    </row>
  </sheetData>
  <mergeCells count="36">
    <mergeCell ref="A43:C43"/>
    <mergeCell ref="I43:K43"/>
    <mergeCell ref="Q43:S43"/>
    <mergeCell ref="Y43:AA43"/>
    <mergeCell ref="AG43:AI43"/>
    <mergeCell ref="Q44:S44"/>
    <mergeCell ref="A41:C41"/>
    <mergeCell ref="I41:K41"/>
    <mergeCell ref="Q41:S41"/>
    <mergeCell ref="Y41:AA41"/>
    <mergeCell ref="AG41:AI41"/>
    <mergeCell ref="A42:C42"/>
    <mergeCell ref="I42:K42"/>
    <mergeCell ref="Q42:S42"/>
    <mergeCell ref="Y42:AA42"/>
    <mergeCell ref="AG42:AI42"/>
    <mergeCell ref="A16:A17"/>
    <mergeCell ref="AI16:AI17"/>
    <mergeCell ref="A24:A25"/>
    <mergeCell ref="AI24:AI25"/>
    <mergeCell ref="A32:A33"/>
    <mergeCell ref="AI32:AI33"/>
    <mergeCell ref="I6:K6"/>
    <mergeCell ref="Q6:S6"/>
    <mergeCell ref="Y6:AA6"/>
    <mergeCell ref="AG6:AI6"/>
    <mergeCell ref="I7:K7"/>
    <mergeCell ref="Q7:S7"/>
    <mergeCell ref="Y7:AA7"/>
    <mergeCell ref="AG7:AI7"/>
    <mergeCell ref="P1:T1"/>
    <mergeCell ref="Q4:S4"/>
    <mergeCell ref="I5:K5"/>
    <mergeCell ref="Q5:S5"/>
    <mergeCell ref="Y5:AA5"/>
    <mergeCell ref="AG5:AI5"/>
  </mergeCells>
  <pageMargins left="0" right="0" top="0.39409448818897641" bottom="0.39409448818897641" header="0" footer="0"/>
  <headerFooter>
    <oddHeader>&amp;C&amp;A</oddHeader>
    <oddFooter>&amp;CPage &amp;P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W45"/>
  <sheetViews>
    <sheetView workbookViewId="0"/>
  </sheetViews>
  <sheetFormatPr defaultRowHeight="13.35"/>
  <cols>
    <col min="1" max="1" width="11.59765625" style="25" customWidth="1"/>
    <col min="2" max="2" width="7.5" style="25" customWidth="1"/>
    <col min="3" max="34" width="4.796875" style="25" customWidth="1"/>
    <col min="35" max="35" width="11.59765625" style="25" customWidth="1"/>
    <col min="36" max="257" width="5.5" style="25" customWidth="1"/>
    <col min="258" max="1024" width="5.5" customWidth="1"/>
  </cols>
  <sheetData>
    <row r="1" spans="1:257" ht="13.8">
      <c r="A1" s="23" t="s">
        <v>40</v>
      </c>
      <c r="B1" s="77">
        <v>42738</v>
      </c>
      <c r="C1" s="23" t="s">
        <v>41</v>
      </c>
      <c r="Y1" s="78"/>
      <c r="Z1" s="79"/>
      <c r="AA1" s="79"/>
      <c r="AG1" s="25" t="s">
        <v>42</v>
      </c>
      <c r="AI1" s="32"/>
      <c r="AJ1" s="32"/>
    </row>
    <row r="2" spans="1:257" ht="15.75" customHeight="1">
      <c r="A2" s="23" t="s">
        <v>3</v>
      </c>
      <c r="B2" s="28">
        <v>1</v>
      </c>
      <c r="P2" s="69" t="s">
        <v>1</v>
      </c>
      <c r="Q2" s="69"/>
      <c r="R2" s="69"/>
      <c r="S2" s="69"/>
      <c r="T2" s="69"/>
      <c r="Y2" s="80"/>
      <c r="Z2" s="81"/>
      <c r="AA2" s="81"/>
      <c r="AG2" s="25" t="s">
        <v>43</v>
      </c>
      <c r="AI2" s="32"/>
      <c r="AJ2" s="32"/>
    </row>
    <row r="3" spans="1:257" ht="13.8">
      <c r="A3" s="23" t="s">
        <v>5</v>
      </c>
      <c r="B3" s="28">
        <v>1</v>
      </c>
      <c r="Y3" s="82"/>
      <c r="Z3" s="79"/>
      <c r="AA3" s="79"/>
      <c r="AH3" s="83"/>
      <c r="AI3" s="32"/>
      <c r="AJ3" s="32"/>
    </row>
    <row r="4" spans="1:257" ht="75.75" customHeight="1">
      <c r="A4" s="84" t="s">
        <v>44</v>
      </c>
      <c r="J4" s="84" t="s">
        <v>45</v>
      </c>
      <c r="R4" s="85" t="s">
        <v>46</v>
      </c>
      <c r="Z4" s="84" t="s">
        <v>47</v>
      </c>
      <c r="AI4" s="84" t="s">
        <v>48</v>
      </c>
    </row>
    <row r="5" spans="1:257" s="91" customFormat="1" ht="16.2" customHeight="1">
      <c r="A5" s="86"/>
      <c r="B5" s="87">
        <f>$B$1*$B$2+$B$3*992</f>
        <v>43730</v>
      </c>
      <c r="C5" s="88">
        <f>$B$1*$B$2+$B$3*993</f>
        <v>43731</v>
      </c>
      <c r="D5" s="88">
        <f>$B$1*$B$2+$B$3*994</f>
        <v>43732</v>
      </c>
      <c r="E5" s="88">
        <f>$B$1*$B$2+$B$3*995</f>
        <v>43733</v>
      </c>
      <c r="F5" s="88">
        <f>$B$1*$B$2+$B$3*996</f>
        <v>43734</v>
      </c>
      <c r="G5" s="88">
        <f>$B$1*$B$2+$B$3*997</f>
        <v>43735</v>
      </c>
      <c r="H5" s="88">
        <f>$B$1*$B$2+$B$3*998</f>
        <v>43736</v>
      </c>
      <c r="I5" s="88">
        <f>$B$1*$B$2+$B$3*999</f>
        <v>43737</v>
      </c>
      <c r="J5" s="89">
        <f>$B$1*$B$2+$B$3*1000</f>
        <v>43738</v>
      </c>
      <c r="K5" s="88">
        <f>$B$1*$B$2+$B$3*1001</f>
        <v>43739</v>
      </c>
      <c r="L5" s="88">
        <f>$B$1*$B$2+$B$3*1002</f>
        <v>43740</v>
      </c>
      <c r="M5" s="88">
        <f>$B$1*$B$2+$B$3*1003</f>
        <v>43741</v>
      </c>
      <c r="N5" s="88">
        <f>$B$1*$B$2+$B$3*1004</f>
        <v>43742</v>
      </c>
      <c r="O5" s="88">
        <f>$B$1*$B$2+$B$3*1005</f>
        <v>43743</v>
      </c>
      <c r="P5" s="88">
        <f>$B$1*$B$2+$B$3*1006</f>
        <v>43744</v>
      </c>
      <c r="Q5" s="88">
        <f>$B$1*$B$2+$B$3*1007</f>
        <v>43745</v>
      </c>
      <c r="R5" s="89">
        <f>$B$1*$B$2+$B$3*1008</f>
        <v>43746</v>
      </c>
      <c r="S5" s="88">
        <f>$B$1*$B$2+$B$3*1009</f>
        <v>43747</v>
      </c>
      <c r="T5" s="88">
        <f>$B$1*$B$2+$B$3*1010</f>
        <v>43748</v>
      </c>
      <c r="U5" s="88">
        <f>$B$1*$B$2+$B$3*1011</f>
        <v>43749</v>
      </c>
      <c r="V5" s="88">
        <f>$B$1*$B$2+$B$3*1012</f>
        <v>43750</v>
      </c>
      <c r="W5" s="88">
        <f>$B$1*$B$2+$B$3*1013</f>
        <v>43751</v>
      </c>
      <c r="X5" s="88">
        <f>$B$1*$B$2+$B$3*1014</f>
        <v>43752</v>
      </c>
      <c r="Y5" s="88">
        <f>$B$1*$B$2+$B$3*1015</f>
        <v>43753</v>
      </c>
      <c r="Z5" s="89">
        <f>$B$1*$B$2+$B$3*1016</f>
        <v>43754</v>
      </c>
      <c r="AA5" s="88">
        <f>$B$1*$B$2+$B$3*1017</f>
        <v>43755</v>
      </c>
      <c r="AB5" s="88">
        <f>$B$1*$B$2+$B$3*1018</f>
        <v>43756</v>
      </c>
      <c r="AC5" s="88">
        <f>$B$1*$B$2+$B$3*1019</f>
        <v>43757</v>
      </c>
      <c r="AD5" s="88">
        <f>$B$1*$B$2+$B$3*1020</f>
        <v>43758</v>
      </c>
      <c r="AE5" s="88">
        <f>$B$1*$B$2+$B$3*1021</f>
        <v>43759</v>
      </c>
      <c r="AF5" s="88">
        <f>$B$1*$B$2+$B$3*1022</f>
        <v>43760</v>
      </c>
      <c r="AG5" s="88">
        <f>$B$1*$B$2+$B$3*1023</f>
        <v>43761</v>
      </c>
      <c r="AH5" s="90">
        <f>$B$1*$B$2+$B$3*1024</f>
        <v>43762</v>
      </c>
      <c r="AI5" s="86"/>
      <c r="AJ5" s="86"/>
      <c r="AK5" s="86"/>
      <c r="AL5" s="86"/>
      <c r="AM5" s="86"/>
      <c r="AN5" s="86"/>
      <c r="AO5" s="86"/>
      <c r="AP5" s="86"/>
      <c r="AQ5" s="86"/>
      <c r="AR5" s="86"/>
      <c r="AS5" s="86"/>
      <c r="AT5" s="86"/>
      <c r="AU5" s="86"/>
      <c r="AV5" s="86"/>
      <c r="AW5" s="86"/>
      <c r="AX5" s="86"/>
      <c r="AY5" s="86"/>
      <c r="AZ5" s="86"/>
      <c r="BA5" s="86"/>
      <c r="BB5" s="86"/>
      <c r="BC5" s="86"/>
      <c r="BD5" s="86"/>
      <c r="BE5" s="86"/>
      <c r="BF5" s="86"/>
      <c r="BG5" s="86"/>
      <c r="BH5" s="86"/>
      <c r="BI5" s="86"/>
      <c r="BJ5" s="86"/>
      <c r="BK5" s="86"/>
      <c r="BL5" s="86"/>
      <c r="BM5" s="86"/>
      <c r="BN5" s="86"/>
      <c r="BO5" s="86"/>
      <c r="BP5" s="86"/>
      <c r="BQ5" s="86"/>
      <c r="BR5" s="86"/>
      <c r="BS5" s="86"/>
      <c r="BT5" s="86"/>
      <c r="BU5" s="86"/>
      <c r="BV5" s="86"/>
      <c r="BW5" s="86"/>
      <c r="BX5" s="86"/>
      <c r="BY5" s="86"/>
      <c r="BZ5" s="86"/>
      <c r="CA5" s="86"/>
      <c r="CB5" s="86"/>
      <c r="CC5" s="86"/>
      <c r="CD5" s="86"/>
      <c r="CE5" s="86"/>
      <c r="CF5" s="86"/>
      <c r="CG5" s="86"/>
      <c r="CH5" s="86"/>
      <c r="CI5" s="86"/>
      <c r="CJ5" s="86"/>
      <c r="CK5" s="86"/>
      <c r="CL5" s="86"/>
      <c r="CM5" s="86"/>
      <c r="CN5" s="86"/>
      <c r="CO5" s="86"/>
      <c r="CP5" s="86"/>
      <c r="CQ5" s="86"/>
      <c r="CR5" s="86"/>
      <c r="CS5" s="86"/>
      <c r="CT5" s="86"/>
      <c r="CU5" s="86"/>
      <c r="CV5" s="86"/>
      <c r="CW5" s="86"/>
      <c r="CX5" s="86"/>
      <c r="CY5" s="86"/>
      <c r="CZ5" s="86"/>
      <c r="DA5" s="86"/>
      <c r="DB5" s="86"/>
      <c r="DC5" s="86"/>
      <c r="DD5" s="86"/>
      <c r="DE5" s="86"/>
      <c r="DF5" s="86"/>
      <c r="DG5" s="86"/>
      <c r="DH5" s="86"/>
      <c r="DI5" s="86"/>
      <c r="DJ5" s="86"/>
      <c r="DK5" s="86"/>
      <c r="DL5" s="86"/>
      <c r="DM5" s="86"/>
      <c r="DN5" s="86"/>
      <c r="DO5" s="86"/>
      <c r="DP5" s="86"/>
      <c r="DQ5" s="86"/>
      <c r="DR5" s="86"/>
      <c r="DS5" s="86"/>
      <c r="DT5" s="86"/>
      <c r="DU5" s="86"/>
      <c r="DV5" s="86"/>
      <c r="DW5" s="86"/>
      <c r="DX5" s="86"/>
      <c r="DY5" s="86"/>
      <c r="DZ5" s="86"/>
      <c r="EA5" s="86"/>
      <c r="EB5" s="86"/>
      <c r="EC5" s="86"/>
      <c r="ED5" s="86"/>
      <c r="EE5" s="86"/>
      <c r="EF5" s="86"/>
      <c r="EG5" s="86"/>
      <c r="EH5" s="86"/>
      <c r="EI5" s="86"/>
      <c r="EJ5" s="86"/>
      <c r="EK5" s="86"/>
      <c r="EL5" s="86"/>
      <c r="EM5" s="86"/>
      <c r="EN5" s="86"/>
      <c r="EO5" s="86"/>
      <c r="EP5" s="86"/>
      <c r="EQ5" s="86"/>
      <c r="ER5" s="86"/>
      <c r="ES5" s="86"/>
      <c r="ET5" s="86"/>
      <c r="EU5" s="86"/>
      <c r="EV5" s="86"/>
      <c r="EW5" s="86"/>
      <c r="EX5" s="86"/>
      <c r="EY5" s="86"/>
      <c r="EZ5" s="86"/>
      <c r="FA5" s="86"/>
      <c r="FB5" s="86"/>
      <c r="FC5" s="86"/>
      <c r="FD5" s="86"/>
      <c r="FE5" s="86"/>
      <c r="FF5" s="86"/>
      <c r="FG5" s="86"/>
      <c r="FH5" s="86"/>
      <c r="FI5" s="86"/>
      <c r="FJ5" s="86"/>
      <c r="FK5" s="86"/>
      <c r="FL5" s="86"/>
      <c r="FM5" s="86"/>
      <c r="FN5" s="86"/>
      <c r="FO5" s="86"/>
      <c r="FP5" s="86"/>
      <c r="FQ5" s="86"/>
      <c r="FR5" s="86"/>
      <c r="FS5" s="86"/>
      <c r="FT5" s="86"/>
      <c r="FU5" s="86"/>
      <c r="FV5" s="86"/>
      <c r="FW5" s="86"/>
      <c r="FX5" s="86"/>
      <c r="FY5" s="86"/>
      <c r="FZ5" s="86"/>
      <c r="GA5" s="86"/>
      <c r="GB5" s="86"/>
      <c r="GC5" s="86"/>
      <c r="GD5" s="86"/>
      <c r="GE5" s="86"/>
      <c r="GF5" s="86"/>
      <c r="GG5" s="86"/>
      <c r="GH5" s="86"/>
      <c r="GI5" s="86"/>
      <c r="GJ5" s="86"/>
      <c r="GK5" s="86"/>
      <c r="GL5" s="86"/>
      <c r="GM5" s="86"/>
      <c r="GN5" s="86"/>
      <c r="GO5" s="86"/>
      <c r="GP5" s="86"/>
      <c r="GQ5" s="86"/>
      <c r="GR5" s="86"/>
      <c r="GS5" s="86"/>
      <c r="GT5" s="86"/>
      <c r="GU5" s="86"/>
      <c r="GV5" s="86"/>
      <c r="GW5" s="86"/>
      <c r="GX5" s="86"/>
      <c r="GY5" s="86"/>
      <c r="GZ5" s="86"/>
      <c r="HA5" s="86"/>
      <c r="HB5" s="86"/>
      <c r="HC5" s="86"/>
      <c r="HD5" s="86"/>
      <c r="HE5" s="86"/>
      <c r="HF5" s="86"/>
      <c r="HG5" s="86"/>
      <c r="HH5" s="86"/>
      <c r="HI5" s="86"/>
      <c r="HJ5" s="86"/>
      <c r="HK5" s="86"/>
      <c r="HL5" s="86"/>
      <c r="HM5" s="86"/>
      <c r="HN5" s="86"/>
      <c r="HO5" s="86"/>
      <c r="HP5" s="86"/>
      <c r="HQ5" s="86"/>
      <c r="HR5" s="86"/>
      <c r="HS5" s="86"/>
      <c r="HT5" s="86"/>
      <c r="HU5" s="86"/>
      <c r="HV5" s="86"/>
      <c r="HW5" s="86"/>
      <c r="HX5" s="86"/>
      <c r="HY5" s="86"/>
      <c r="HZ5" s="86"/>
      <c r="IA5" s="86"/>
      <c r="IB5" s="86"/>
      <c r="IC5" s="86"/>
      <c r="ID5" s="86"/>
      <c r="IE5" s="86"/>
      <c r="IF5" s="86"/>
      <c r="IG5" s="86"/>
      <c r="IH5" s="86"/>
      <c r="II5" s="86"/>
      <c r="IJ5" s="86"/>
      <c r="IK5" s="86"/>
      <c r="IL5" s="86"/>
      <c r="IM5" s="86"/>
      <c r="IN5" s="86"/>
      <c r="IO5" s="86"/>
      <c r="IP5" s="86"/>
      <c r="IQ5" s="86"/>
      <c r="IR5" s="86"/>
      <c r="IS5" s="86"/>
      <c r="IT5" s="86"/>
      <c r="IU5" s="86"/>
      <c r="IV5" s="86"/>
      <c r="IW5" s="86"/>
    </row>
    <row r="6" spans="1:257" s="91" customFormat="1" ht="16.2" customHeight="1">
      <c r="A6" s="86"/>
      <c r="B6" s="92">
        <f>$B$1*$B$2+$B$3*991</f>
        <v>43729</v>
      </c>
      <c r="C6" s="87">
        <f>$B$1*$B$2+$B$3*870</f>
        <v>43608</v>
      </c>
      <c r="D6" s="88">
        <f>$B$1*$B$2+$B$3*871</f>
        <v>43609</v>
      </c>
      <c r="E6" s="88">
        <f>$B$1*$B$2+$B$3*872</f>
        <v>43610</v>
      </c>
      <c r="F6" s="88">
        <f>$B$1*$B$2+$B$3*873</f>
        <v>43611</v>
      </c>
      <c r="G6" s="88">
        <f>$B$1*$B$2+$B$3*874</f>
        <v>43612</v>
      </c>
      <c r="H6" s="88">
        <f>$B$1*$B$2+$B$3*875</f>
        <v>43613</v>
      </c>
      <c r="I6" s="88">
        <f>$B$1*$B$2+$B$3*876</f>
        <v>43614</v>
      </c>
      <c r="J6" s="88">
        <f>$B$1*$B$2+$B$3*877</f>
        <v>43615</v>
      </c>
      <c r="K6" s="88">
        <f>$B$1*$B$2+$B$3*878</f>
        <v>43616</v>
      </c>
      <c r="L6" s="88">
        <f>$B$1*$B$2+$B$3*879</f>
        <v>43617</v>
      </c>
      <c r="M6" s="88">
        <f>$B$1*$B$2+$B$3*880</f>
        <v>43618</v>
      </c>
      <c r="N6" s="88">
        <f>$B$1*$B$2+$B$3*881</f>
        <v>43619</v>
      </c>
      <c r="O6" s="88">
        <f>$B$1*$B$2+$B$3*882</f>
        <v>43620</v>
      </c>
      <c r="P6" s="88">
        <f>$B$1*$B$2+$B$3*883</f>
        <v>43621</v>
      </c>
      <c r="Q6" s="88">
        <f>$B$1*$B$2+$B$3*884</f>
        <v>43622</v>
      </c>
      <c r="R6" s="89">
        <f>$B$1*$B$2+$B$3*885</f>
        <v>43623</v>
      </c>
      <c r="S6" s="88">
        <f>$B$1*$B$2+$B$3*886</f>
        <v>43624</v>
      </c>
      <c r="T6" s="88">
        <f>$B$1*$B$2+$B$3*887</f>
        <v>43625</v>
      </c>
      <c r="U6" s="88">
        <f>$B$1*$B$2+$B$3*888</f>
        <v>43626</v>
      </c>
      <c r="V6" s="88">
        <f>$B$1*$B$2+$B$3*889</f>
        <v>43627</v>
      </c>
      <c r="W6" s="88">
        <f>$B$1*$B$2+$B$3*890</f>
        <v>43628</v>
      </c>
      <c r="X6" s="88">
        <f>$B$1*$B$2+$B$3*891</f>
        <v>43629</v>
      </c>
      <c r="Y6" s="88">
        <f>$B$1*$B$2+$B$3*892</f>
        <v>43630</v>
      </c>
      <c r="Z6" s="88">
        <f>$B$1*$B$2+$B$3*893</f>
        <v>43631</v>
      </c>
      <c r="AA6" s="88">
        <f>$B$1*$B$2+$B$3*894</f>
        <v>43632</v>
      </c>
      <c r="AB6" s="88">
        <f>$B$1*$B$2+$B$3*895</f>
        <v>43633</v>
      </c>
      <c r="AC6" s="88">
        <f>$B$1*$B$2+$B$3*896</f>
        <v>43634</v>
      </c>
      <c r="AD6" s="88">
        <f>$B$1*$B$2+$B$3*897</f>
        <v>43635</v>
      </c>
      <c r="AE6" s="88">
        <f>$B$1*$B$2+$B$3*898</f>
        <v>43636</v>
      </c>
      <c r="AF6" s="88">
        <f>$B$1*$B$2+$B$3*899</f>
        <v>43637</v>
      </c>
      <c r="AG6" s="90">
        <f>$B$1*$B$2+$B$3*900</f>
        <v>43638</v>
      </c>
      <c r="AH6" s="92">
        <f>$B$1*$B$2+$B$3*1025</f>
        <v>43763</v>
      </c>
      <c r="AI6" s="86"/>
      <c r="AJ6" s="86"/>
      <c r="AK6" s="86"/>
      <c r="AL6" s="86"/>
      <c r="AM6" s="86"/>
      <c r="AN6" s="86"/>
      <c r="AO6" s="86"/>
      <c r="AP6" s="86"/>
      <c r="AQ6" s="86"/>
      <c r="AR6" s="86"/>
      <c r="AS6" s="86"/>
      <c r="AT6" s="86"/>
      <c r="AU6" s="86"/>
      <c r="AV6" s="86"/>
      <c r="AW6" s="86"/>
      <c r="AX6" s="86"/>
      <c r="AY6" s="86"/>
      <c r="AZ6" s="86"/>
      <c r="BA6" s="86"/>
      <c r="BB6" s="86"/>
      <c r="BC6" s="86"/>
      <c r="BD6" s="86"/>
      <c r="BE6" s="86"/>
      <c r="BF6" s="86"/>
      <c r="BG6" s="86"/>
      <c r="BH6" s="86"/>
      <c r="BI6" s="86"/>
      <c r="BJ6" s="86"/>
      <c r="BK6" s="86"/>
      <c r="BL6" s="86"/>
      <c r="BM6" s="86"/>
      <c r="BN6" s="86"/>
      <c r="BO6" s="86"/>
      <c r="BP6" s="86"/>
      <c r="BQ6" s="86"/>
      <c r="BR6" s="86"/>
      <c r="BS6" s="86"/>
      <c r="BT6" s="86"/>
      <c r="BU6" s="86"/>
      <c r="BV6" s="86"/>
      <c r="BW6" s="86"/>
      <c r="BX6" s="86"/>
      <c r="BY6" s="86"/>
      <c r="BZ6" s="86"/>
      <c r="CA6" s="86"/>
      <c r="CB6" s="86"/>
      <c r="CC6" s="86"/>
      <c r="CD6" s="86"/>
      <c r="CE6" s="86"/>
      <c r="CF6" s="86"/>
      <c r="CG6" s="86"/>
      <c r="CH6" s="86"/>
      <c r="CI6" s="86"/>
      <c r="CJ6" s="86"/>
      <c r="CK6" s="86"/>
      <c r="CL6" s="86"/>
      <c r="CM6" s="86"/>
      <c r="CN6" s="86"/>
      <c r="CO6" s="86"/>
      <c r="CP6" s="86"/>
      <c r="CQ6" s="86"/>
      <c r="CR6" s="86"/>
      <c r="CS6" s="86"/>
      <c r="CT6" s="86"/>
      <c r="CU6" s="86"/>
      <c r="CV6" s="86"/>
      <c r="CW6" s="86"/>
      <c r="CX6" s="86"/>
      <c r="CY6" s="86"/>
      <c r="CZ6" s="86"/>
      <c r="DA6" s="86"/>
      <c r="DB6" s="86"/>
      <c r="DC6" s="86"/>
      <c r="DD6" s="86"/>
      <c r="DE6" s="86"/>
      <c r="DF6" s="86"/>
      <c r="DG6" s="86"/>
      <c r="DH6" s="86"/>
      <c r="DI6" s="86"/>
      <c r="DJ6" s="86"/>
      <c r="DK6" s="86"/>
      <c r="DL6" s="86"/>
      <c r="DM6" s="86"/>
      <c r="DN6" s="86"/>
      <c r="DO6" s="86"/>
      <c r="DP6" s="86"/>
      <c r="DQ6" s="86"/>
      <c r="DR6" s="86"/>
      <c r="DS6" s="86"/>
      <c r="DT6" s="86"/>
      <c r="DU6" s="86"/>
      <c r="DV6" s="86"/>
      <c r="DW6" s="86"/>
      <c r="DX6" s="86"/>
      <c r="DY6" s="86"/>
      <c r="DZ6" s="86"/>
      <c r="EA6" s="86"/>
      <c r="EB6" s="86"/>
      <c r="EC6" s="86"/>
      <c r="ED6" s="86"/>
      <c r="EE6" s="86"/>
      <c r="EF6" s="86"/>
      <c r="EG6" s="86"/>
      <c r="EH6" s="86"/>
      <c r="EI6" s="86"/>
      <c r="EJ6" s="86"/>
      <c r="EK6" s="86"/>
      <c r="EL6" s="86"/>
      <c r="EM6" s="86"/>
      <c r="EN6" s="86"/>
      <c r="EO6" s="86"/>
      <c r="EP6" s="86"/>
      <c r="EQ6" s="86"/>
      <c r="ER6" s="86"/>
      <c r="ES6" s="86"/>
      <c r="ET6" s="86"/>
      <c r="EU6" s="86"/>
      <c r="EV6" s="86"/>
      <c r="EW6" s="86"/>
      <c r="EX6" s="86"/>
      <c r="EY6" s="86"/>
      <c r="EZ6" s="86"/>
      <c r="FA6" s="86"/>
      <c r="FB6" s="86"/>
      <c r="FC6" s="86"/>
      <c r="FD6" s="86"/>
      <c r="FE6" s="86"/>
      <c r="FF6" s="86"/>
      <c r="FG6" s="86"/>
      <c r="FH6" s="86"/>
      <c r="FI6" s="86"/>
      <c r="FJ6" s="86"/>
      <c r="FK6" s="86"/>
      <c r="FL6" s="86"/>
      <c r="FM6" s="86"/>
      <c r="FN6" s="86"/>
      <c r="FO6" s="86"/>
      <c r="FP6" s="86"/>
      <c r="FQ6" s="86"/>
      <c r="FR6" s="86"/>
      <c r="FS6" s="86"/>
      <c r="FT6" s="86"/>
      <c r="FU6" s="86"/>
      <c r="FV6" s="86"/>
      <c r="FW6" s="86"/>
      <c r="FX6" s="86"/>
      <c r="FY6" s="86"/>
      <c r="FZ6" s="86"/>
      <c r="GA6" s="86"/>
      <c r="GB6" s="86"/>
      <c r="GC6" s="86"/>
      <c r="GD6" s="86"/>
      <c r="GE6" s="86"/>
      <c r="GF6" s="86"/>
      <c r="GG6" s="86"/>
      <c r="GH6" s="86"/>
      <c r="GI6" s="86"/>
      <c r="GJ6" s="86"/>
      <c r="GK6" s="86"/>
      <c r="GL6" s="86"/>
      <c r="GM6" s="86"/>
      <c r="GN6" s="86"/>
      <c r="GO6" s="86"/>
      <c r="GP6" s="86"/>
      <c r="GQ6" s="86"/>
      <c r="GR6" s="86"/>
      <c r="GS6" s="86"/>
      <c r="GT6" s="86"/>
      <c r="GU6" s="86"/>
      <c r="GV6" s="86"/>
      <c r="GW6" s="86"/>
      <c r="GX6" s="86"/>
      <c r="GY6" s="86"/>
      <c r="GZ6" s="86"/>
      <c r="HA6" s="86"/>
      <c r="HB6" s="86"/>
      <c r="HC6" s="86"/>
      <c r="HD6" s="86"/>
      <c r="HE6" s="86"/>
      <c r="HF6" s="86"/>
      <c r="HG6" s="86"/>
      <c r="HH6" s="86"/>
      <c r="HI6" s="86"/>
      <c r="HJ6" s="86"/>
      <c r="HK6" s="86"/>
      <c r="HL6" s="86"/>
      <c r="HM6" s="86"/>
      <c r="HN6" s="86"/>
      <c r="HO6" s="86"/>
      <c r="HP6" s="86"/>
      <c r="HQ6" s="86"/>
      <c r="HR6" s="86"/>
      <c r="HS6" s="86"/>
      <c r="HT6" s="86"/>
      <c r="HU6" s="86"/>
      <c r="HV6" s="86"/>
      <c r="HW6" s="86"/>
      <c r="HX6" s="86"/>
      <c r="HY6" s="86"/>
      <c r="HZ6" s="86"/>
      <c r="IA6" s="86"/>
      <c r="IB6" s="86"/>
      <c r="IC6" s="86"/>
      <c r="ID6" s="86"/>
      <c r="IE6" s="86"/>
      <c r="IF6" s="86"/>
      <c r="IG6" s="86"/>
      <c r="IH6" s="86"/>
      <c r="II6" s="86"/>
      <c r="IJ6" s="86"/>
      <c r="IK6" s="86"/>
      <c r="IL6" s="86"/>
      <c r="IM6" s="86"/>
      <c r="IN6" s="86"/>
      <c r="IO6" s="86"/>
      <c r="IP6" s="86"/>
      <c r="IQ6" s="86"/>
      <c r="IR6" s="86"/>
      <c r="IS6" s="86"/>
      <c r="IT6" s="86"/>
      <c r="IU6" s="86"/>
      <c r="IV6" s="86"/>
      <c r="IW6" s="86"/>
    </row>
    <row r="7" spans="1:257" s="91" customFormat="1" ht="16.2" customHeight="1">
      <c r="A7" s="86"/>
      <c r="B7" s="92">
        <f>$B$1*$B$2+$B$3*990</f>
        <v>43728</v>
      </c>
      <c r="C7" s="92">
        <f>$B$1*$B$2+$B$3*869</f>
        <v>43607</v>
      </c>
      <c r="D7" s="87">
        <f>$B$1*$B$2+$B$3*756</f>
        <v>43494</v>
      </c>
      <c r="E7" s="88">
        <f>$B$1*$B$2+$B$3*757</f>
        <v>43495</v>
      </c>
      <c r="F7" s="88">
        <f>$B$1*$B$2+$B$3*758</f>
        <v>43496</v>
      </c>
      <c r="G7" s="88">
        <f>$B$1*$B$2+$B$3*759</f>
        <v>43497</v>
      </c>
      <c r="H7" s="88">
        <f>$B$1*$B$2+$B$3*760</f>
        <v>43498</v>
      </c>
      <c r="I7" s="88">
        <f>$B$1*$B$2+$B$3*761</f>
        <v>43499</v>
      </c>
      <c r="J7" s="88">
        <f>$B$1*$B$2+$B$3*762</f>
        <v>43500</v>
      </c>
      <c r="K7" s="89">
        <f>$B$1*$B$2+$B$3*763</f>
        <v>43501</v>
      </c>
      <c r="L7" s="88">
        <f>$B$1*$B$2+$B$3*764</f>
        <v>43502</v>
      </c>
      <c r="M7" s="88">
        <f>$B$1*$B$2+$B$3*765</f>
        <v>43503</v>
      </c>
      <c r="N7" s="88">
        <f>$B$1*$B$2+$B$3*766</f>
        <v>43504</v>
      </c>
      <c r="O7" s="88">
        <f>$B$1*$B$2+$B$3*767</f>
        <v>43505</v>
      </c>
      <c r="P7" s="88">
        <f>$B$1*$B$2+$B$3*768</f>
        <v>43506</v>
      </c>
      <c r="Q7" s="88">
        <f>$B$1*$B$2+$B$3*769</f>
        <v>43507</v>
      </c>
      <c r="R7" s="89">
        <f>$B$1*$B$2+$B$3*770</f>
        <v>43508</v>
      </c>
      <c r="S7" s="88">
        <f>$B$1*$B$2+$B$3*771</f>
        <v>43509</v>
      </c>
      <c r="T7" s="88">
        <f>$B$1*$B$2+$B$3*772</f>
        <v>43510</v>
      </c>
      <c r="U7" s="88">
        <f>$B$1*$B$2+$B$3*773</f>
        <v>43511</v>
      </c>
      <c r="V7" s="88">
        <f>$B$1*$B$2+$B$3*774</f>
        <v>43512</v>
      </c>
      <c r="W7" s="88">
        <f>$B$1*$B$2+$B$3*775</f>
        <v>43513</v>
      </c>
      <c r="X7" s="88">
        <f>$B$1*$B$2+$B$3*776</f>
        <v>43514</v>
      </c>
      <c r="Y7" s="89">
        <f>$B$1*$B$2+$B$3*777</f>
        <v>43515</v>
      </c>
      <c r="Z7" s="88">
        <f>$B$1*$B$2+$B$3*778</f>
        <v>43516</v>
      </c>
      <c r="AA7" s="88">
        <f>$B$1*$B$2+$B$3*779</f>
        <v>43517</v>
      </c>
      <c r="AB7" s="88">
        <f>$B$1*$B$2+$B$3*780</f>
        <v>43518</v>
      </c>
      <c r="AC7" s="88">
        <f>$B$1*$B$2+$B$3*781</f>
        <v>43519</v>
      </c>
      <c r="AD7" s="88">
        <f>$B$1*$B$2+$B$3*782</f>
        <v>43520</v>
      </c>
      <c r="AE7" s="88">
        <f>$B$1*$B$2+$B$3*783</f>
        <v>43521</v>
      </c>
      <c r="AF7" s="90">
        <f>$B$1*$B$2+$B$3*784</f>
        <v>43522</v>
      </c>
      <c r="AG7" s="93">
        <f>$B$1*$B$2+$B$3*901</f>
        <v>43639</v>
      </c>
      <c r="AH7" s="92">
        <f>$B$1*$B$2+$B$3*1026</f>
        <v>43764</v>
      </c>
      <c r="AI7" s="86"/>
      <c r="AJ7" s="86"/>
      <c r="AK7" s="86"/>
      <c r="AL7" s="86"/>
      <c r="AM7" s="86"/>
      <c r="AN7" s="86"/>
      <c r="AO7" s="86"/>
      <c r="AP7" s="86"/>
      <c r="AQ7" s="86"/>
      <c r="AR7" s="86"/>
      <c r="AS7" s="86"/>
      <c r="AT7" s="86"/>
      <c r="AU7" s="86"/>
      <c r="AV7" s="86"/>
      <c r="AW7" s="86"/>
      <c r="AX7" s="86"/>
      <c r="AY7" s="86"/>
      <c r="AZ7" s="86"/>
      <c r="BA7" s="86"/>
      <c r="BB7" s="86"/>
      <c r="BC7" s="86"/>
      <c r="BD7" s="86"/>
      <c r="BE7" s="86"/>
      <c r="BF7" s="86"/>
      <c r="BG7" s="86"/>
      <c r="BH7" s="86"/>
      <c r="BI7" s="86"/>
      <c r="BJ7" s="86"/>
      <c r="BK7" s="86"/>
      <c r="BL7" s="86"/>
      <c r="BM7" s="86"/>
      <c r="BN7" s="86"/>
      <c r="BO7" s="86"/>
      <c r="BP7" s="86"/>
      <c r="BQ7" s="86"/>
      <c r="BR7" s="86"/>
      <c r="BS7" s="86"/>
      <c r="BT7" s="86"/>
      <c r="BU7" s="86"/>
      <c r="BV7" s="86"/>
      <c r="BW7" s="86"/>
      <c r="BX7" s="86"/>
      <c r="BY7" s="86"/>
      <c r="BZ7" s="86"/>
      <c r="CA7" s="86"/>
      <c r="CB7" s="86"/>
      <c r="CC7" s="86"/>
      <c r="CD7" s="86"/>
      <c r="CE7" s="86"/>
      <c r="CF7" s="86"/>
      <c r="CG7" s="86"/>
      <c r="CH7" s="86"/>
      <c r="CI7" s="86"/>
      <c r="CJ7" s="86"/>
      <c r="CK7" s="86"/>
      <c r="CL7" s="86"/>
      <c r="CM7" s="86"/>
      <c r="CN7" s="86"/>
      <c r="CO7" s="86"/>
      <c r="CP7" s="86"/>
      <c r="CQ7" s="86"/>
      <c r="CR7" s="86"/>
      <c r="CS7" s="86"/>
      <c r="CT7" s="86"/>
      <c r="CU7" s="86"/>
      <c r="CV7" s="86"/>
      <c r="CW7" s="86"/>
      <c r="CX7" s="86"/>
      <c r="CY7" s="86"/>
      <c r="CZ7" s="86"/>
      <c r="DA7" s="86"/>
      <c r="DB7" s="86"/>
      <c r="DC7" s="86"/>
      <c r="DD7" s="86"/>
      <c r="DE7" s="86"/>
      <c r="DF7" s="86"/>
      <c r="DG7" s="86"/>
      <c r="DH7" s="86"/>
      <c r="DI7" s="86"/>
      <c r="DJ7" s="86"/>
      <c r="DK7" s="86"/>
      <c r="DL7" s="86"/>
      <c r="DM7" s="86"/>
      <c r="DN7" s="86"/>
      <c r="DO7" s="86"/>
      <c r="DP7" s="86"/>
      <c r="DQ7" s="86"/>
      <c r="DR7" s="86"/>
      <c r="DS7" s="86"/>
      <c r="DT7" s="86"/>
      <c r="DU7" s="86"/>
      <c r="DV7" s="86"/>
      <c r="DW7" s="86"/>
      <c r="DX7" s="86"/>
      <c r="DY7" s="86"/>
      <c r="DZ7" s="86"/>
      <c r="EA7" s="86"/>
      <c r="EB7" s="86"/>
      <c r="EC7" s="86"/>
      <c r="ED7" s="86"/>
      <c r="EE7" s="86"/>
      <c r="EF7" s="86"/>
      <c r="EG7" s="86"/>
      <c r="EH7" s="86"/>
      <c r="EI7" s="86"/>
      <c r="EJ7" s="86"/>
      <c r="EK7" s="86"/>
      <c r="EL7" s="86"/>
      <c r="EM7" s="86"/>
      <c r="EN7" s="86"/>
      <c r="EO7" s="86"/>
      <c r="EP7" s="86"/>
      <c r="EQ7" s="86"/>
      <c r="ER7" s="86"/>
      <c r="ES7" s="86"/>
      <c r="ET7" s="86"/>
      <c r="EU7" s="86"/>
      <c r="EV7" s="86"/>
      <c r="EW7" s="86"/>
      <c r="EX7" s="86"/>
      <c r="EY7" s="86"/>
      <c r="EZ7" s="86"/>
      <c r="FA7" s="86"/>
      <c r="FB7" s="86"/>
      <c r="FC7" s="86"/>
      <c r="FD7" s="86"/>
      <c r="FE7" s="86"/>
      <c r="FF7" s="86"/>
      <c r="FG7" s="86"/>
      <c r="FH7" s="86"/>
      <c r="FI7" s="86"/>
      <c r="FJ7" s="86"/>
      <c r="FK7" s="86"/>
      <c r="FL7" s="86"/>
      <c r="FM7" s="86"/>
      <c r="FN7" s="86"/>
      <c r="FO7" s="86"/>
      <c r="FP7" s="86"/>
      <c r="FQ7" s="86"/>
      <c r="FR7" s="86"/>
      <c r="FS7" s="86"/>
      <c r="FT7" s="86"/>
      <c r="FU7" s="86"/>
      <c r="FV7" s="86"/>
      <c r="FW7" s="86"/>
      <c r="FX7" s="86"/>
      <c r="FY7" s="86"/>
      <c r="FZ7" s="86"/>
      <c r="GA7" s="86"/>
      <c r="GB7" s="86"/>
      <c r="GC7" s="86"/>
      <c r="GD7" s="86"/>
      <c r="GE7" s="86"/>
      <c r="GF7" s="86"/>
      <c r="GG7" s="86"/>
      <c r="GH7" s="86"/>
      <c r="GI7" s="86"/>
      <c r="GJ7" s="86"/>
      <c r="GK7" s="86"/>
      <c r="GL7" s="86"/>
      <c r="GM7" s="86"/>
      <c r="GN7" s="86"/>
      <c r="GO7" s="86"/>
      <c r="GP7" s="86"/>
      <c r="GQ7" s="86"/>
      <c r="GR7" s="86"/>
      <c r="GS7" s="86"/>
      <c r="GT7" s="86"/>
      <c r="GU7" s="86"/>
      <c r="GV7" s="86"/>
      <c r="GW7" s="86"/>
      <c r="GX7" s="86"/>
      <c r="GY7" s="86"/>
      <c r="GZ7" s="86"/>
      <c r="HA7" s="86"/>
      <c r="HB7" s="86"/>
      <c r="HC7" s="86"/>
      <c r="HD7" s="86"/>
      <c r="HE7" s="86"/>
      <c r="HF7" s="86"/>
      <c r="HG7" s="86"/>
      <c r="HH7" s="86"/>
      <c r="HI7" s="86"/>
      <c r="HJ7" s="86"/>
      <c r="HK7" s="86"/>
      <c r="HL7" s="86"/>
      <c r="HM7" s="86"/>
      <c r="HN7" s="86"/>
      <c r="HO7" s="86"/>
      <c r="HP7" s="86"/>
      <c r="HQ7" s="86"/>
      <c r="HR7" s="86"/>
      <c r="HS7" s="86"/>
      <c r="HT7" s="86"/>
      <c r="HU7" s="86"/>
      <c r="HV7" s="86"/>
      <c r="HW7" s="86"/>
      <c r="HX7" s="86"/>
      <c r="HY7" s="86"/>
      <c r="HZ7" s="86"/>
      <c r="IA7" s="86"/>
      <c r="IB7" s="86"/>
      <c r="IC7" s="86"/>
      <c r="ID7" s="86"/>
      <c r="IE7" s="86"/>
      <c r="IF7" s="86"/>
      <c r="IG7" s="86"/>
      <c r="IH7" s="86"/>
      <c r="II7" s="86"/>
      <c r="IJ7" s="86"/>
      <c r="IK7" s="86"/>
      <c r="IL7" s="86"/>
      <c r="IM7" s="86"/>
      <c r="IN7" s="86"/>
      <c r="IO7" s="86"/>
      <c r="IP7" s="86"/>
      <c r="IQ7" s="86"/>
      <c r="IR7" s="86"/>
      <c r="IS7" s="86"/>
      <c r="IT7" s="86"/>
      <c r="IU7" s="86"/>
      <c r="IV7" s="86"/>
      <c r="IW7" s="86"/>
    </row>
    <row r="8" spans="1:257" s="91" customFormat="1" ht="16.2" customHeight="1">
      <c r="A8" s="86"/>
      <c r="B8" s="92">
        <f>$B$1*$B$2+$B$3*989</f>
        <v>43727</v>
      </c>
      <c r="C8" s="92">
        <f>$B$1*$B$2+$B$3*868</f>
        <v>43606</v>
      </c>
      <c r="D8" s="94">
        <f>$B$1*$B$2+$B$3*755</f>
        <v>43493</v>
      </c>
      <c r="E8" s="87">
        <f>$B$1*$B$2+$B$3*650</f>
        <v>43388</v>
      </c>
      <c r="F8" s="95">
        <f>$B$1*$B$2+$B$3*651</f>
        <v>43389</v>
      </c>
      <c r="G8" s="95">
        <f>$B$1*$B$2+$B$3*652</f>
        <v>43390</v>
      </c>
      <c r="H8" s="95">
        <f>$B$1*$B$2+$B$3*653</f>
        <v>43391</v>
      </c>
      <c r="I8" s="95">
        <f>$B$1*$B$2+$B$3*654</f>
        <v>43392</v>
      </c>
      <c r="J8" s="95">
        <f>$B$1*$B$2+$B$3*655</f>
        <v>43393</v>
      </c>
      <c r="K8" s="95">
        <f>$B$1*$B$2+$B$3*656</f>
        <v>43394</v>
      </c>
      <c r="L8" s="95">
        <f>$B$1*$B$2+$B$3*657</f>
        <v>43395</v>
      </c>
      <c r="M8" s="95">
        <f>$B$1*$B$2+$B$3*658</f>
        <v>43396</v>
      </c>
      <c r="N8" s="95">
        <f>$B$1*$B$2+$B$3*659</f>
        <v>43397</v>
      </c>
      <c r="O8" s="95">
        <f>$B$1*$B$2+$B$3*660</f>
        <v>43398</v>
      </c>
      <c r="P8" s="95">
        <f>$B$1*$B$2+$B$3*661</f>
        <v>43399</v>
      </c>
      <c r="Q8" s="95">
        <f>$B$1*$B$2+$B$3*662</f>
        <v>43400</v>
      </c>
      <c r="R8" s="96">
        <f>$B$1*$B$2+$B$3*663</f>
        <v>43401</v>
      </c>
      <c r="S8" s="95">
        <f>$B$1*$B$2+$B$3*664</f>
        <v>43402</v>
      </c>
      <c r="T8" s="95">
        <f>$B$1*$B$2+$B$3*665</f>
        <v>43403</v>
      </c>
      <c r="U8" s="95">
        <f>$B$1*$B$2+$B$3*666</f>
        <v>43404</v>
      </c>
      <c r="V8" s="95">
        <f>$B$1*$B$2+$B$3*667</f>
        <v>43405</v>
      </c>
      <c r="W8" s="95">
        <f>$B$1*$B$2+$B$3*668</f>
        <v>43406</v>
      </c>
      <c r="X8" s="95">
        <f>$B$1*$B$2+$B$3*669</f>
        <v>43407</v>
      </c>
      <c r="Y8" s="95">
        <f>$B$1*$B$2+$B$3*670</f>
        <v>43408</v>
      </c>
      <c r="Z8" s="95">
        <f>$B$1*$B$2+$B$3*671</f>
        <v>43409</v>
      </c>
      <c r="AA8" s="95">
        <f>$B$1*$B$2+$B$3*672</f>
        <v>43410</v>
      </c>
      <c r="AB8" s="95">
        <f>$B$1*$B$2+$B$3*673</f>
        <v>43411</v>
      </c>
      <c r="AC8" s="95">
        <f>$B$1*$B$2+$B$3*674</f>
        <v>43412</v>
      </c>
      <c r="AD8" s="95">
        <f>$B$1*$B$2+$B$3*675</f>
        <v>43413</v>
      </c>
      <c r="AE8" s="90">
        <f>$B$1*$B$2+$B$3*676</f>
        <v>43414</v>
      </c>
      <c r="AF8" s="93">
        <f>$B$1*$B$2+$B$3*785</f>
        <v>43523</v>
      </c>
      <c r="AG8" s="93">
        <f>$B$1*$B$2+$B$3*902</f>
        <v>43640</v>
      </c>
      <c r="AH8" s="92">
        <f>$B$1*$B$2+$B$3*1027</f>
        <v>43765</v>
      </c>
      <c r="AI8" s="86"/>
      <c r="AJ8" s="86"/>
      <c r="AK8" s="86"/>
      <c r="AL8" s="86"/>
      <c r="AM8" s="86"/>
      <c r="AN8" s="86"/>
      <c r="AO8" s="86"/>
      <c r="AP8" s="86"/>
      <c r="AQ8" s="86"/>
      <c r="AR8" s="86"/>
      <c r="AS8" s="86"/>
      <c r="AT8" s="86"/>
      <c r="AU8" s="86"/>
      <c r="AV8" s="86"/>
      <c r="AW8" s="86"/>
      <c r="AX8" s="86"/>
      <c r="AY8" s="86"/>
      <c r="AZ8" s="86"/>
      <c r="BA8" s="86"/>
      <c r="BB8" s="86"/>
      <c r="BC8" s="86"/>
      <c r="BD8" s="86"/>
      <c r="BE8" s="86"/>
      <c r="BF8" s="86"/>
      <c r="BG8" s="86"/>
      <c r="BH8" s="86"/>
      <c r="BI8" s="86"/>
      <c r="BJ8" s="86"/>
      <c r="BK8" s="86"/>
      <c r="BL8" s="86"/>
      <c r="BM8" s="86"/>
      <c r="BN8" s="86"/>
      <c r="BO8" s="86"/>
      <c r="BP8" s="86"/>
      <c r="BQ8" s="86"/>
      <c r="BR8" s="86"/>
      <c r="BS8" s="86"/>
      <c r="BT8" s="86"/>
      <c r="BU8" s="86"/>
      <c r="BV8" s="86"/>
      <c r="BW8" s="86"/>
      <c r="BX8" s="86"/>
      <c r="BY8" s="86"/>
      <c r="BZ8" s="86"/>
      <c r="CA8" s="86"/>
      <c r="CB8" s="86"/>
      <c r="CC8" s="86"/>
      <c r="CD8" s="86"/>
      <c r="CE8" s="86"/>
      <c r="CF8" s="86"/>
      <c r="CG8" s="86"/>
      <c r="CH8" s="86"/>
      <c r="CI8" s="86"/>
      <c r="CJ8" s="86"/>
      <c r="CK8" s="86"/>
      <c r="CL8" s="86"/>
      <c r="CM8" s="86"/>
      <c r="CN8" s="86"/>
      <c r="CO8" s="86"/>
      <c r="CP8" s="86"/>
      <c r="CQ8" s="86"/>
      <c r="CR8" s="86"/>
      <c r="CS8" s="86"/>
      <c r="CT8" s="86"/>
      <c r="CU8" s="86"/>
      <c r="CV8" s="86"/>
      <c r="CW8" s="86"/>
      <c r="CX8" s="86"/>
      <c r="CY8" s="86"/>
      <c r="CZ8" s="86"/>
      <c r="DA8" s="86"/>
      <c r="DB8" s="86"/>
      <c r="DC8" s="86"/>
      <c r="DD8" s="86"/>
      <c r="DE8" s="86"/>
      <c r="DF8" s="86"/>
      <c r="DG8" s="86"/>
      <c r="DH8" s="86"/>
      <c r="DI8" s="86"/>
      <c r="DJ8" s="86"/>
      <c r="DK8" s="86"/>
      <c r="DL8" s="86"/>
      <c r="DM8" s="86"/>
      <c r="DN8" s="86"/>
      <c r="DO8" s="86"/>
      <c r="DP8" s="86"/>
      <c r="DQ8" s="86"/>
      <c r="DR8" s="86"/>
      <c r="DS8" s="86"/>
      <c r="DT8" s="86"/>
      <c r="DU8" s="86"/>
      <c r="DV8" s="86"/>
      <c r="DW8" s="86"/>
      <c r="DX8" s="86"/>
      <c r="DY8" s="86"/>
      <c r="DZ8" s="86"/>
      <c r="EA8" s="86"/>
      <c r="EB8" s="86"/>
      <c r="EC8" s="86"/>
      <c r="ED8" s="86"/>
      <c r="EE8" s="86"/>
      <c r="EF8" s="86"/>
      <c r="EG8" s="86"/>
      <c r="EH8" s="86"/>
      <c r="EI8" s="86"/>
      <c r="EJ8" s="86"/>
      <c r="EK8" s="86"/>
      <c r="EL8" s="86"/>
      <c r="EM8" s="86"/>
      <c r="EN8" s="86"/>
      <c r="EO8" s="86"/>
      <c r="EP8" s="86"/>
      <c r="EQ8" s="86"/>
      <c r="ER8" s="86"/>
      <c r="ES8" s="86"/>
      <c r="ET8" s="86"/>
      <c r="EU8" s="86"/>
      <c r="EV8" s="86"/>
      <c r="EW8" s="86"/>
      <c r="EX8" s="86"/>
      <c r="EY8" s="86"/>
      <c r="EZ8" s="86"/>
      <c r="FA8" s="86"/>
      <c r="FB8" s="86"/>
      <c r="FC8" s="86"/>
      <c r="FD8" s="86"/>
      <c r="FE8" s="86"/>
      <c r="FF8" s="86"/>
      <c r="FG8" s="86"/>
      <c r="FH8" s="86"/>
      <c r="FI8" s="86"/>
      <c r="FJ8" s="86"/>
      <c r="FK8" s="86"/>
      <c r="FL8" s="86"/>
      <c r="FM8" s="86"/>
      <c r="FN8" s="86"/>
      <c r="FO8" s="86"/>
      <c r="FP8" s="86"/>
      <c r="FQ8" s="86"/>
      <c r="FR8" s="86"/>
      <c r="FS8" s="86"/>
      <c r="FT8" s="86"/>
      <c r="FU8" s="86"/>
      <c r="FV8" s="86"/>
      <c r="FW8" s="86"/>
      <c r="FX8" s="86"/>
      <c r="FY8" s="86"/>
      <c r="FZ8" s="86"/>
      <c r="GA8" s="86"/>
      <c r="GB8" s="86"/>
      <c r="GC8" s="86"/>
      <c r="GD8" s="86"/>
      <c r="GE8" s="86"/>
      <c r="GF8" s="86"/>
      <c r="GG8" s="86"/>
      <c r="GH8" s="86"/>
      <c r="GI8" s="86"/>
      <c r="GJ8" s="86"/>
      <c r="GK8" s="86"/>
      <c r="GL8" s="86"/>
      <c r="GM8" s="86"/>
      <c r="GN8" s="86"/>
      <c r="GO8" s="86"/>
      <c r="GP8" s="86"/>
      <c r="GQ8" s="86"/>
      <c r="GR8" s="86"/>
      <c r="GS8" s="86"/>
      <c r="GT8" s="86"/>
      <c r="GU8" s="86"/>
      <c r="GV8" s="86"/>
      <c r="GW8" s="86"/>
      <c r="GX8" s="86"/>
      <c r="GY8" s="86"/>
      <c r="GZ8" s="86"/>
      <c r="HA8" s="86"/>
      <c r="HB8" s="86"/>
      <c r="HC8" s="86"/>
      <c r="HD8" s="86"/>
      <c r="HE8" s="86"/>
      <c r="HF8" s="86"/>
      <c r="HG8" s="86"/>
      <c r="HH8" s="86"/>
      <c r="HI8" s="86"/>
      <c r="HJ8" s="86"/>
      <c r="HK8" s="86"/>
      <c r="HL8" s="86"/>
      <c r="HM8" s="86"/>
      <c r="HN8" s="86"/>
      <c r="HO8" s="86"/>
      <c r="HP8" s="86"/>
      <c r="HQ8" s="86"/>
      <c r="HR8" s="86"/>
      <c r="HS8" s="86"/>
      <c r="HT8" s="86"/>
      <c r="HU8" s="86"/>
      <c r="HV8" s="86"/>
      <c r="HW8" s="86"/>
      <c r="HX8" s="86"/>
      <c r="HY8" s="86"/>
      <c r="HZ8" s="86"/>
      <c r="IA8" s="86"/>
      <c r="IB8" s="86"/>
      <c r="IC8" s="86"/>
      <c r="ID8" s="86"/>
      <c r="IE8" s="86"/>
      <c r="IF8" s="86"/>
      <c r="IG8" s="86"/>
      <c r="IH8" s="86"/>
      <c r="II8" s="86"/>
      <c r="IJ8" s="86"/>
      <c r="IK8" s="86"/>
      <c r="IL8" s="86"/>
      <c r="IM8" s="86"/>
      <c r="IN8" s="86"/>
      <c r="IO8" s="86"/>
      <c r="IP8" s="86"/>
      <c r="IQ8" s="86"/>
      <c r="IR8" s="86"/>
      <c r="IS8" s="86"/>
      <c r="IT8" s="86"/>
      <c r="IU8" s="86"/>
      <c r="IV8" s="86"/>
      <c r="IW8" s="86"/>
    </row>
    <row r="9" spans="1:257" s="91" customFormat="1" ht="16.2" customHeight="1">
      <c r="A9" s="86"/>
      <c r="B9" s="92">
        <f>$B$1*$B$2+$B$3*988</f>
        <v>43726</v>
      </c>
      <c r="C9" s="92">
        <f>$B$1*$B$2+$B$3*867</f>
        <v>43605</v>
      </c>
      <c r="D9" s="94">
        <f>$B$1*$B$2+$B$3*754</f>
        <v>43492</v>
      </c>
      <c r="E9" s="94">
        <f>$B$1*$B$2+$B$3*649</f>
        <v>43387</v>
      </c>
      <c r="F9" s="87">
        <f>$B$1*$B$2+$B$3*552</f>
        <v>43290</v>
      </c>
      <c r="G9" s="95">
        <f>$B$1*$B$2+$B$3*553</f>
        <v>43291</v>
      </c>
      <c r="H9" s="95">
        <f>$B$1*$B$2+$B$3*554</f>
        <v>43292</v>
      </c>
      <c r="I9" s="95">
        <f>$B$1*$B$2+$B$3*555</f>
        <v>43293</v>
      </c>
      <c r="J9" s="95">
        <f>$B$1*$B$2+$B$3*556</f>
        <v>43294</v>
      </c>
      <c r="K9" s="95">
        <f>$B$1*$B$2+$B$3*557</f>
        <v>43295</v>
      </c>
      <c r="L9" s="96">
        <f>$B$1*$B$2+$B$3*558</f>
        <v>43296</v>
      </c>
      <c r="M9" s="95">
        <f>$B$1*$B$2+$B$3*559</f>
        <v>43297</v>
      </c>
      <c r="N9" s="95">
        <f>$B$1*$B$2+$B$3*560</f>
        <v>43298</v>
      </c>
      <c r="O9" s="95">
        <f>$B$1*$B$2+$B$3*561</f>
        <v>43299</v>
      </c>
      <c r="P9" s="95">
        <f>$B$1*$B$2+$B$3*562</f>
        <v>43300</v>
      </c>
      <c r="Q9" s="95">
        <f>$B$1*$B$2+$B$3*563</f>
        <v>43301</v>
      </c>
      <c r="R9" s="96">
        <f>$B$1*$B$2+$B$3*564</f>
        <v>43302</v>
      </c>
      <c r="S9" s="95">
        <f>$B$1*$B$2+$B$3*565</f>
        <v>43303</v>
      </c>
      <c r="T9" s="95">
        <f>$B$1*$B$2+$B$3*566</f>
        <v>43304</v>
      </c>
      <c r="U9" s="95">
        <f>$B$1*$B$2+$B$3*567</f>
        <v>43305</v>
      </c>
      <c r="V9" s="95">
        <f>$B$1*$B$2+$B$3*568</f>
        <v>43306</v>
      </c>
      <c r="W9" s="95">
        <f>$B$1*$B$2+$B$3*569</f>
        <v>43307</v>
      </c>
      <c r="X9" s="96">
        <f>$B$1*$B$2+$B$3*570</f>
        <v>43308</v>
      </c>
      <c r="Y9" s="95">
        <f>$B$1*$B$2+$B$3*571</f>
        <v>43309</v>
      </c>
      <c r="Z9" s="95">
        <f>$B$1*$B$2+$B$3*572</f>
        <v>43310</v>
      </c>
      <c r="AA9" s="95">
        <f>$B$1*$B$2+$B$3*573</f>
        <v>43311</v>
      </c>
      <c r="AB9" s="95">
        <f>$B$1*$B$2+$B$3*574</f>
        <v>43312</v>
      </c>
      <c r="AC9" s="95">
        <f>$B$1*$B$2+$B$3*575</f>
        <v>43313</v>
      </c>
      <c r="AD9" s="90">
        <f>$B$1*$B$2+$B$3*576</f>
        <v>43314</v>
      </c>
      <c r="AE9" s="93">
        <f>$B$1*$B$2+$B$3*677</f>
        <v>43415</v>
      </c>
      <c r="AF9" s="93">
        <f>$B$1*$B$2+$B$3*786</f>
        <v>43524</v>
      </c>
      <c r="AG9" s="93">
        <f>$B$1*$B$2+$B$3*903</f>
        <v>43641</v>
      </c>
      <c r="AH9" s="92">
        <f>$B$1*$B$2+$B$3*1028</f>
        <v>43766</v>
      </c>
      <c r="AI9" s="86"/>
      <c r="AJ9" s="86"/>
      <c r="AK9" s="86"/>
      <c r="AL9" s="86"/>
      <c r="AM9" s="86"/>
      <c r="AN9" s="86"/>
      <c r="AO9" s="86"/>
      <c r="AP9" s="86"/>
      <c r="AQ9" s="86"/>
      <c r="AR9" s="86"/>
      <c r="AS9" s="86"/>
      <c r="AT9" s="86"/>
      <c r="AU9" s="86"/>
      <c r="AV9" s="86"/>
      <c r="AW9" s="86"/>
      <c r="AX9" s="86"/>
      <c r="AY9" s="86"/>
      <c r="AZ9" s="86"/>
      <c r="BA9" s="86"/>
      <c r="BB9" s="86"/>
      <c r="BC9" s="86"/>
      <c r="BD9" s="86"/>
      <c r="BE9" s="86"/>
      <c r="BF9" s="86"/>
      <c r="BG9" s="86"/>
      <c r="BH9" s="86"/>
      <c r="BI9" s="86"/>
      <c r="BJ9" s="86"/>
      <c r="BK9" s="86"/>
      <c r="BL9" s="86"/>
      <c r="BM9" s="86"/>
      <c r="BN9" s="86"/>
      <c r="BO9" s="86"/>
      <c r="BP9" s="86"/>
      <c r="BQ9" s="86"/>
      <c r="BR9" s="86"/>
      <c r="BS9" s="86"/>
      <c r="BT9" s="86"/>
      <c r="BU9" s="86"/>
      <c r="BV9" s="86"/>
      <c r="BW9" s="86"/>
      <c r="BX9" s="86"/>
      <c r="BY9" s="86"/>
      <c r="BZ9" s="86"/>
      <c r="CA9" s="86"/>
      <c r="CB9" s="86"/>
      <c r="CC9" s="86"/>
      <c r="CD9" s="86"/>
      <c r="CE9" s="86"/>
      <c r="CF9" s="86"/>
      <c r="CG9" s="86"/>
      <c r="CH9" s="86"/>
      <c r="CI9" s="86"/>
      <c r="CJ9" s="86"/>
      <c r="CK9" s="86"/>
      <c r="CL9" s="86"/>
      <c r="CM9" s="86"/>
      <c r="CN9" s="86"/>
      <c r="CO9" s="86"/>
      <c r="CP9" s="86"/>
      <c r="CQ9" s="86"/>
      <c r="CR9" s="86"/>
      <c r="CS9" s="86"/>
      <c r="CT9" s="86"/>
      <c r="CU9" s="86"/>
      <c r="CV9" s="86"/>
      <c r="CW9" s="86"/>
      <c r="CX9" s="86"/>
      <c r="CY9" s="86"/>
      <c r="CZ9" s="86"/>
      <c r="DA9" s="86"/>
      <c r="DB9" s="86"/>
      <c r="DC9" s="86"/>
      <c r="DD9" s="86"/>
      <c r="DE9" s="86"/>
      <c r="DF9" s="86"/>
      <c r="DG9" s="86"/>
      <c r="DH9" s="86"/>
      <c r="DI9" s="86"/>
      <c r="DJ9" s="86"/>
      <c r="DK9" s="86"/>
      <c r="DL9" s="86"/>
      <c r="DM9" s="86"/>
      <c r="DN9" s="86"/>
      <c r="DO9" s="86"/>
      <c r="DP9" s="86"/>
      <c r="DQ9" s="86"/>
      <c r="DR9" s="86"/>
      <c r="DS9" s="86"/>
      <c r="DT9" s="86"/>
      <c r="DU9" s="86"/>
      <c r="DV9" s="86"/>
      <c r="DW9" s="86"/>
      <c r="DX9" s="86"/>
      <c r="DY9" s="86"/>
      <c r="DZ9" s="86"/>
      <c r="EA9" s="86"/>
      <c r="EB9" s="86"/>
      <c r="EC9" s="86"/>
      <c r="ED9" s="86"/>
      <c r="EE9" s="86"/>
      <c r="EF9" s="86"/>
      <c r="EG9" s="86"/>
      <c r="EH9" s="86"/>
      <c r="EI9" s="86"/>
      <c r="EJ9" s="86"/>
      <c r="EK9" s="86"/>
      <c r="EL9" s="86"/>
      <c r="EM9" s="86"/>
      <c r="EN9" s="86"/>
      <c r="EO9" s="86"/>
      <c r="EP9" s="86"/>
      <c r="EQ9" s="86"/>
      <c r="ER9" s="86"/>
      <c r="ES9" s="86"/>
      <c r="ET9" s="86"/>
      <c r="EU9" s="86"/>
      <c r="EV9" s="86"/>
      <c r="EW9" s="86"/>
      <c r="EX9" s="86"/>
      <c r="EY9" s="86"/>
      <c r="EZ9" s="86"/>
      <c r="FA9" s="86"/>
      <c r="FB9" s="86"/>
      <c r="FC9" s="86"/>
      <c r="FD9" s="86"/>
      <c r="FE9" s="86"/>
      <c r="FF9" s="86"/>
      <c r="FG9" s="86"/>
      <c r="FH9" s="86"/>
      <c r="FI9" s="86"/>
      <c r="FJ9" s="86"/>
      <c r="FK9" s="86"/>
      <c r="FL9" s="86"/>
      <c r="FM9" s="86"/>
      <c r="FN9" s="86"/>
      <c r="FO9" s="86"/>
      <c r="FP9" s="86"/>
      <c r="FQ9" s="86"/>
      <c r="FR9" s="86"/>
      <c r="FS9" s="86"/>
      <c r="FT9" s="86"/>
      <c r="FU9" s="86"/>
      <c r="FV9" s="86"/>
      <c r="FW9" s="86"/>
      <c r="FX9" s="86"/>
      <c r="FY9" s="86"/>
      <c r="FZ9" s="86"/>
      <c r="GA9" s="86"/>
      <c r="GB9" s="86"/>
      <c r="GC9" s="86"/>
      <c r="GD9" s="86"/>
      <c r="GE9" s="86"/>
      <c r="GF9" s="86"/>
      <c r="GG9" s="86"/>
      <c r="GH9" s="86"/>
      <c r="GI9" s="86"/>
      <c r="GJ9" s="86"/>
      <c r="GK9" s="86"/>
      <c r="GL9" s="86"/>
      <c r="GM9" s="86"/>
      <c r="GN9" s="86"/>
      <c r="GO9" s="86"/>
      <c r="GP9" s="86"/>
      <c r="GQ9" s="86"/>
      <c r="GR9" s="86"/>
      <c r="GS9" s="86"/>
      <c r="GT9" s="86"/>
      <c r="GU9" s="86"/>
      <c r="GV9" s="86"/>
      <c r="GW9" s="86"/>
      <c r="GX9" s="86"/>
      <c r="GY9" s="86"/>
      <c r="GZ9" s="86"/>
      <c r="HA9" s="86"/>
      <c r="HB9" s="86"/>
      <c r="HC9" s="86"/>
      <c r="HD9" s="86"/>
      <c r="HE9" s="86"/>
      <c r="HF9" s="86"/>
      <c r="HG9" s="86"/>
      <c r="HH9" s="86"/>
      <c r="HI9" s="86"/>
      <c r="HJ9" s="86"/>
      <c r="HK9" s="86"/>
      <c r="HL9" s="86"/>
      <c r="HM9" s="86"/>
      <c r="HN9" s="86"/>
      <c r="HO9" s="86"/>
      <c r="HP9" s="86"/>
      <c r="HQ9" s="86"/>
      <c r="HR9" s="86"/>
      <c r="HS9" s="86"/>
      <c r="HT9" s="86"/>
      <c r="HU9" s="86"/>
      <c r="HV9" s="86"/>
      <c r="HW9" s="86"/>
      <c r="HX9" s="86"/>
      <c r="HY9" s="86"/>
      <c r="HZ9" s="86"/>
      <c r="IA9" s="86"/>
      <c r="IB9" s="86"/>
      <c r="IC9" s="86"/>
      <c r="ID9" s="86"/>
      <c r="IE9" s="86"/>
      <c r="IF9" s="86"/>
      <c r="IG9" s="86"/>
      <c r="IH9" s="86"/>
      <c r="II9" s="86"/>
      <c r="IJ9" s="86"/>
      <c r="IK9" s="86"/>
      <c r="IL9" s="86"/>
      <c r="IM9" s="86"/>
      <c r="IN9" s="86"/>
      <c r="IO9" s="86"/>
      <c r="IP9" s="86"/>
      <c r="IQ9" s="86"/>
      <c r="IR9" s="86"/>
      <c r="IS9" s="86"/>
      <c r="IT9" s="86"/>
      <c r="IU9" s="86"/>
      <c r="IV9" s="86"/>
      <c r="IW9" s="86"/>
    </row>
    <row r="10" spans="1:257" s="91" customFormat="1" ht="16.2" customHeight="1">
      <c r="A10" s="86"/>
      <c r="B10" s="92">
        <f>$B$1*$B$2+$B$3*987</f>
        <v>43725</v>
      </c>
      <c r="C10" s="92">
        <f>$B$1*$B$2+$B$3*866</f>
        <v>43604</v>
      </c>
      <c r="D10" s="94">
        <f>$B$1*$B$2+$B$3*753</f>
        <v>43491</v>
      </c>
      <c r="E10" s="94">
        <f>$B$1*$B$2+$B$3*648</f>
        <v>43386</v>
      </c>
      <c r="F10" s="94">
        <f>$B$1*$B$2+$B$3*551</f>
        <v>43289</v>
      </c>
      <c r="G10" s="87">
        <f>$B$1*$B$2+$B$3*462</f>
        <v>43200</v>
      </c>
      <c r="H10" s="95">
        <f>$B$1*$B$2+$B$3*463</f>
        <v>43201</v>
      </c>
      <c r="I10" s="95">
        <f>$B$1*$B$2+$B$3*464</f>
        <v>43202</v>
      </c>
      <c r="J10" s="95">
        <f>$B$1*$B$2+$B$3*465</f>
        <v>43203</v>
      </c>
      <c r="K10" s="95">
        <f>$B$1*$B$2+$B$3*466</f>
        <v>43204</v>
      </c>
      <c r="L10" s="95">
        <f>$B$1*$B$2+$B$3*467</f>
        <v>43205</v>
      </c>
      <c r="M10" s="95">
        <f>$B$1*$B$2+$B$3*468</f>
        <v>43206</v>
      </c>
      <c r="N10" s="95">
        <f>$B$1*$B$2+$B$3*469</f>
        <v>43207</v>
      </c>
      <c r="O10" s="95">
        <f>$B$1*$B$2+$B$3*470</f>
        <v>43208</v>
      </c>
      <c r="P10" s="95">
        <f>$B$1*$B$2+$B$3*471</f>
        <v>43209</v>
      </c>
      <c r="Q10" s="95">
        <f>$B$1*$B$2+$B$3*472</f>
        <v>43210</v>
      </c>
      <c r="R10" s="96">
        <f>$B$1*$B$2+$B$3*473</f>
        <v>43211</v>
      </c>
      <c r="S10" s="95">
        <f>$B$1*$B$2+$B$3*474</f>
        <v>43212</v>
      </c>
      <c r="T10" s="95">
        <f>$B$1*$B$2+$B$3*475</f>
        <v>43213</v>
      </c>
      <c r="U10" s="95">
        <f>$B$1*$B$2+$B$3*476</f>
        <v>43214</v>
      </c>
      <c r="V10" s="95">
        <f>$B$1*$B$2+$B$3*477</f>
        <v>43215</v>
      </c>
      <c r="W10" s="95">
        <f>$B$1*$B$2+$B$3*478</f>
        <v>43216</v>
      </c>
      <c r="X10" s="95">
        <f>$B$1*$B$2+$B$3*479</f>
        <v>43217</v>
      </c>
      <c r="Y10" s="95">
        <f>$B$1*$B$2+$B$3*480</f>
        <v>43218</v>
      </c>
      <c r="Z10" s="95">
        <f>$B$1*$B$2+$B$3*481</f>
        <v>43219</v>
      </c>
      <c r="AA10" s="95">
        <f>$B$1*$B$2+$B$3*482</f>
        <v>43220</v>
      </c>
      <c r="AB10" s="95">
        <f>$B$1*$B$2+$B$3*483</f>
        <v>43221</v>
      </c>
      <c r="AC10" s="90">
        <f>$B$1*$B$2+$B$3*484</f>
        <v>43222</v>
      </c>
      <c r="AD10" s="93">
        <f>$B$1*$B$2+$B$3*577</f>
        <v>43315</v>
      </c>
      <c r="AE10" s="93">
        <f>$B$1*$B$2+$B$3*678</f>
        <v>43416</v>
      </c>
      <c r="AF10" s="93">
        <f>$B$1*$B$2+$B$3*787</f>
        <v>43525</v>
      </c>
      <c r="AG10" s="93">
        <f>$B$1*$B$2+$B$3*904</f>
        <v>43642</v>
      </c>
      <c r="AH10" s="92">
        <f>$B$1*$B$2+$B$3*1029</f>
        <v>43767</v>
      </c>
      <c r="AI10" s="86"/>
      <c r="AJ10" s="86"/>
      <c r="AK10" s="86"/>
      <c r="AL10" s="86"/>
      <c r="AM10" s="86"/>
      <c r="AN10" s="86"/>
      <c r="AO10" s="86"/>
      <c r="AP10" s="86"/>
      <c r="AQ10" s="86"/>
      <c r="AR10" s="86"/>
      <c r="AS10" s="86"/>
      <c r="AT10" s="86"/>
      <c r="AU10" s="86"/>
      <c r="AV10" s="86"/>
      <c r="AW10" s="86"/>
      <c r="AX10" s="86"/>
      <c r="AY10" s="86"/>
      <c r="AZ10" s="86"/>
      <c r="BA10" s="86"/>
      <c r="BB10" s="86"/>
      <c r="BC10" s="86"/>
      <c r="BD10" s="86"/>
      <c r="BE10" s="86"/>
      <c r="BF10" s="86"/>
      <c r="BG10" s="86"/>
      <c r="BH10" s="86"/>
      <c r="BI10" s="86"/>
      <c r="BJ10" s="86"/>
      <c r="BK10" s="86"/>
      <c r="BL10" s="86"/>
      <c r="BM10" s="86"/>
      <c r="BN10" s="86"/>
      <c r="BO10" s="86"/>
      <c r="BP10" s="86"/>
      <c r="BQ10" s="86"/>
      <c r="BR10" s="86"/>
      <c r="BS10" s="86"/>
      <c r="BT10" s="86"/>
      <c r="BU10" s="86"/>
      <c r="BV10" s="86"/>
      <c r="BW10" s="86"/>
      <c r="BX10" s="86"/>
      <c r="BY10" s="86"/>
      <c r="BZ10" s="86"/>
      <c r="CA10" s="86"/>
      <c r="CB10" s="86"/>
      <c r="CC10" s="86"/>
      <c r="CD10" s="86"/>
      <c r="CE10" s="86"/>
      <c r="CF10" s="86"/>
      <c r="CG10" s="86"/>
      <c r="CH10" s="86"/>
      <c r="CI10" s="86"/>
      <c r="CJ10" s="86"/>
      <c r="CK10" s="86"/>
      <c r="CL10" s="86"/>
      <c r="CM10" s="86"/>
      <c r="CN10" s="86"/>
      <c r="CO10" s="86"/>
      <c r="CP10" s="86"/>
      <c r="CQ10" s="86"/>
      <c r="CR10" s="86"/>
      <c r="CS10" s="86"/>
      <c r="CT10" s="86"/>
      <c r="CU10" s="86"/>
      <c r="CV10" s="86"/>
      <c r="CW10" s="86"/>
      <c r="CX10" s="86"/>
      <c r="CY10" s="86"/>
      <c r="CZ10" s="86"/>
      <c r="DA10" s="86"/>
      <c r="DB10" s="86"/>
      <c r="DC10" s="86"/>
      <c r="DD10" s="86"/>
      <c r="DE10" s="86"/>
      <c r="DF10" s="86"/>
      <c r="DG10" s="86"/>
      <c r="DH10" s="86"/>
      <c r="DI10" s="86"/>
      <c r="DJ10" s="86"/>
      <c r="DK10" s="86"/>
      <c r="DL10" s="86"/>
      <c r="DM10" s="86"/>
      <c r="DN10" s="86"/>
      <c r="DO10" s="86"/>
      <c r="DP10" s="86"/>
      <c r="DQ10" s="86"/>
      <c r="DR10" s="86"/>
      <c r="DS10" s="86"/>
      <c r="DT10" s="86"/>
      <c r="DU10" s="86"/>
      <c r="DV10" s="86"/>
      <c r="DW10" s="86"/>
      <c r="DX10" s="86"/>
      <c r="DY10" s="86"/>
      <c r="DZ10" s="86"/>
      <c r="EA10" s="86"/>
      <c r="EB10" s="86"/>
      <c r="EC10" s="86"/>
      <c r="ED10" s="86"/>
      <c r="EE10" s="86"/>
      <c r="EF10" s="86"/>
      <c r="EG10" s="86"/>
      <c r="EH10" s="86"/>
      <c r="EI10" s="86"/>
      <c r="EJ10" s="86"/>
      <c r="EK10" s="86"/>
      <c r="EL10" s="86"/>
      <c r="EM10" s="86"/>
      <c r="EN10" s="86"/>
      <c r="EO10" s="86"/>
      <c r="EP10" s="86"/>
      <c r="EQ10" s="86"/>
      <c r="ER10" s="86"/>
      <c r="ES10" s="86"/>
      <c r="ET10" s="86"/>
      <c r="EU10" s="86"/>
      <c r="EV10" s="86"/>
      <c r="EW10" s="86"/>
      <c r="EX10" s="86"/>
      <c r="EY10" s="86"/>
      <c r="EZ10" s="86"/>
      <c r="FA10" s="86"/>
      <c r="FB10" s="86"/>
      <c r="FC10" s="86"/>
      <c r="FD10" s="86"/>
      <c r="FE10" s="86"/>
      <c r="FF10" s="86"/>
      <c r="FG10" s="86"/>
      <c r="FH10" s="86"/>
      <c r="FI10" s="86"/>
      <c r="FJ10" s="86"/>
      <c r="FK10" s="86"/>
      <c r="FL10" s="86"/>
      <c r="FM10" s="86"/>
      <c r="FN10" s="86"/>
      <c r="FO10" s="86"/>
      <c r="FP10" s="86"/>
      <c r="FQ10" s="86"/>
      <c r="FR10" s="86"/>
      <c r="FS10" s="86"/>
      <c r="FT10" s="86"/>
      <c r="FU10" s="86"/>
      <c r="FV10" s="86"/>
      <c r="FW10" s="86"/>
      <c r="FX10" s="86"/>
      <c r="FY10" s="86"/>
      <c r="FZ10" s="86"/>
      <c r="GA10" s="86"/>
      <c r="GB10" s="86"/>
      <c r="GC10" s="86"/>
      <c r="GD10" s="86"/>
      <c r="GE10" s="86"/>
      <c r="GF10" s="86"/>
      <c r="GG10" s="86"/>
      <c r="GH10" s="86"/>
      <c r="GI10" s="86"/>
      <c r="GJ10" s="86"/>
      <c r="GK10" s="86"/>
      <c r="GL10" s="86"/>
      <c r="GM10" s="86"/>
      <c r="GN10" s="86"/>
      <c r="GO10" s="86"/>
      <c r="GP10" s="86"/>
      <c r="GQ10" s="86"/>
      <c r="GR10" s="86"/>
      <c r="GS10" s="86"/>
      <c r="GT10" s="86"/>
      <c r="GU10" s="86"/>
      <c r="GV10" s="86"/>
      <c r="GW10" s="86"/>
      <c r="GX10" s="86"/>
      <c r="GY10" s="86"/>
      <c r="GZ10" s="86"/>
      <c r="HA10" s="86"/>
      <c r="HB10" s="86"/>
      <c r="HC10" s="86"/>
      <c r="HD10" s="86"/>
      <c r="HE10" s="86"/>
      <c r="HF10" s="86"/>
      <c r="HG10" s="86"/>
      <c r="HH10" s="86"/>
      <c r="HI10" s="86"/>
      <c r="HJ10" s="86"/>
      <c r="HK10" s="86"/>
      <c r="HL10" s="86"/>
      <c r="HM10" s="86"/>
      <c r="HN10" s="86"/>
      <c r="HO10" s="86"/>
      <c r="HP10" s="86"/>
      <c r="HQ10" s="86"/>
      <c r="HR10" s="86"/>
      <c r="HS10" s="86"/>
      <c r="HT10" s="86"/>
      <c r="HU10" s="86"/>
      <c r="HV10" s="86"/>
      <c r="HW10" s="86"/>
      <c r="HX10" s="86"/>
      <c r="HY10" s="86"/>
      <c r="HZ10" s="86"/>
      <c r="IA10" s="86"/>
      <c r="IB10" s="86"/>
      <c r="IC10" s="86"/>
      <c r="ID10" s="86"/>
      <c r="IE10" s="86"/>
      <c r="IF10" s="86"/>
      <c r="IG10" s="86"/>
      <c r="IH10" s="86"/>
      <c r="II10" s="86"/>
      <c r="IJ10" s="86"/>
      <c r="IK10" s="86"/>
      <c r="IL10" s="86"/>
      <c r="IM10" s="86"/>
      <c r="IN10" s="86"/>
      <c r="IO10" s="86"/>
      <c r="IP10" s="86"/>
      <c r="IQ10" s="86"/>
      <c r="IR10" s="86"/>
      <c r="IS10" s="86"/>
      <c r="IT10" s="86"/>
      <c r="IU10" s="86"/>
      <c r="IV10" s="86"/>
      <c r="IW10" s="86"/>
    </row>
    <row r="11" spans="1:257" s="91" customFormat="1" ht="16.2" customHeight="1">
      <c r="A11" s="86"/>
      <c r="B11" s="92">
        <f>$B$1*$B$2+$B$3*986</f>
        <v>43724</v>
      </c>
      <c r="C11" s="92">
        <f>$B$1*$B$2+$B$3*865</f>
        <v>43603</v>
      </c>
      <c r="D11" s="94">
        <f>$B$1*$B$2+$B$3*752</f>
        <v>43490</v>
      </c>
      <c r="E11" s="94">
        <f>$B$1*$B$2+$B$3*647</f>
        <v>43385</v>
      </c>
      <c r="F11" s="94">
        <f>$B$1*$B$2+$B$3*550</f>
        <v>43288</v>
      </c>
      <c r="G11" s="94">
        <f>$B$1*$B$2+$B$3*461</f>
        <v>43199</v>
      </c>
      <c r="H11" s="87">
        <f>$B$1*$B$2+$B$3*380</f>
        <v>43118</v>
      </c>
      <c r="I11" s="95">
        <f>$B$1*$B$2+$B$3*381</f>
        <v>43119</v>
      </c>
      <c r="J11" s="95">
        <f>$B$1*$B$2+$B$3*382</f>
        <v>43120</v>
      </c>
      <c r="K11" s="95">
        <f>$B$1*$B$2+$B$3*383</f>
        <v>43121</v>
      </c>
      <c r="L11" s="95">
        <f>$B$1*$B$2+$B$3*384</f>
        <v>43122</v>
      </c>
      <c r="M11" s="96">
        <f>$B$1*$B$2+$B$3*385</f>
        <v>43123</v>
      </c>
      <c r="N11" s="95">
        <f>$B$1*$B$2+$B$3*386</f>
        <v>43124</v>
      </c>
      <c r="O11" s="95">
        <f>$B$1*$B$2+$B$3*387</f>
        <v>43125</v>
      </c>
      <c r="P11" s="95">
        <f>$B$1*$B$2+$B$3*388</f>
        <v>43126</v>
      </c>
      <c r="Q11" s="95">
        <f>$B$1*$B$2+$B$3*389</f>
        <v>43127</v>
      </c>
      <c r="R11" s="96">
        <f>$B$1*$B$2+$B$3*390</f>
        <v>43128</v>
      </c>
      <c r="S11" s="95">
        <f>$B$1*$B$2+$B$3*391</f>
        <v>43129</v>
      </c>
      <c r="T11" s="95">
        <f>$B$1*$B$2+$B$3*392</f>
        <v>43130</v>
      </c>
      <c r="U11" s="95">
        <f>$B$1*$B$2+$B$3*393</f>
        <v>43131</v>
      </c>
      <c r="V11" s="95">
        <f>$B$1*$B$2+$B$3*394</f>
        <v>43132</v>
      </c>
      <c r="W11" s="96">
        <f>$B$1*$B$2+$B$3*395</f>
        <v>43133</v>
      </c>
      <c r="X11" s="95">
        <f>$B$1*$B$2+$B$3*396</f>
        <v>43134</v>
      </c>
      <c r="Y11" s="95">
        <f>$B$1*$B$2+$B$3*397</f>
        <v>43135</v>
      </c>
      <c r="Z11" s="95">
        <f>$B$1*$B$2+$B$3*398</f>
        <v>43136</v>
      </c>
      <c r="AA11" s="95">
        <f>$B$1*$B$2+$B$3*399</f>
        <v>43137</v>
      </c>
      <c r="AB11" s="90">
        <f>$B$1*$B$2+$B$3*400</f>
        <v>43138</v>
      </c>
      <c r="AC11" s="93">
        <f>$B$1*$B$2+$B$3*485</f>
        <v>43223</v>
      </c>
      <c r="AD11" s="93">
        <f>$B$1*$B$2+$B$3*578</f>
        <v>43316</v>
      </c>
      <c r="AE11" s="93">
        <f>$B$1*$B$2+$B$3*679</f>
        <v>43417</v>
      </c>
      <c r="AF11" s="93">
        <f>$B$1*$B$2+$B$3*788</f>
        <v>43526</v>
      </c>
      <c r="AG11" s="93">
        <f>$B$1*$B$2+$B$3*905</f>
        <v>43643</v>
      </c>
      <c r="AH11" s="92">
        <f>$B$1*$B$2+$B$3*1030</f>
        <v>43768</v>
      </c>
      <c r="AI11" s="86"/>
      <c r="AJ11" s="86"/>
      <c r="AK11" s="86"/>
      <c r="AL11" s="86"/>
      <c r="AM11" s="86"/>
      <c r="AN11" s="86"/>
      <c r="AO11" s="86"/>
      <c r="AP11" s="86"/>
      <c r="AQ11" s="86"/>
      <c r="AR11" s="86"/>
      <c r="AS11" s="86"/>
      <c r="AT11" s="86"/>
      <c r="AU11" s="86"/>
      <c r="AV11" s="86"/>
      <c r="AW11" s="86"/>
      <c r="AX11" s="86"/>
      <c r="AY11" s="86"/>
      <c r="AZ11" s="86"/>
      <c r="BA11" s="86"/>
      <c r="BB11" s="86"/>
      <c r="BC11" s="86"/>
      <c r="BD11" s="86"/>
      <c r="BE11" s="86"/>
      <c r="BF11" s="86"/>
      <c r="BG11" s="86"/>
      <c r="BH11" s="86"/>
      <c r="BI11" s="86"/>
      <c r="BJ11" s="86"/>
      <c r="BK11" s="86"/>
      <c r="BL11" s="86"/>
      <c r="BM11" s="86"/>
      <c r="BN11" s="86"/>
      <c r="BO11" s="86"/>
      <c r="BP11" s="86"/>
      <c r="BQ11" s="86"/>
      <c r="BR11" s="86"/>
      <c r="BS11" s="86"/>
      <c r="BT11" s="86"/>
      <c r="BU11" s="86"/>
      <c r="BV11" s="86"/>
      <c r="BW11" s="86"/>
      <c r="BX11" s="86"/>
      <c r="BY11" s="86"/>
      <c r="BZ11" s="86"/>
      <c r="CA11" s="86"/>
      <c r="CB11" s="86"/>
      <c r="CC11" s="86"/>
      <c r="CD11" s="86"/>
      <c r="CE11" s="86"/>
      <c r="CF11" s="86"/>
      <c r="CG11" s="86"/>
      <c r="CH11" s="86"/>
      <c r="CI11" s="86"/>
      <c r="CJ11" s="86"/>
      <c r="CK11" s="86"/>
      <c r="CL11" s="86"/>
      <c r="CM11" s="86"/>
      <c r="CN11" s="86"/>
      <c r="CO11" s="86"/>
      <c r="CP11" s="86"/>
      <c r="CQ11" s="86"/>
      <c r="CR11" s="86"/>
      <c r="CS11" s="86"/>
      <c r="CT11" s="86"/>
      <c r="CU11" s="86"/>
      <c r="CV11" s="86"/>
      <c r="CW11" s="86"/>
      <c r="CX11" s="86"/>
      <c r="CY11" s="86"/>
      <c r="CZ11" s="86"/>
      <c r="DA11" s="86"/>
      <c r="DB11" s="86"/>
      <c r="DC11" s="86"/>
      <c r="DD11" s="86"/>
      <c r="DE11" s="86"/>
      <c r="DF11" s="86"/>
      <c r="DG11" s="86"/>
      <c r="DH11" s="86"/>
      <c r="DI11" s="86"/>
      <c r="DJ11" s="86"/>
      <c r="DK11" s="86"/>
      <c r="DL11" s="86"/>
      <c r="DM11" s="86"/>
      <c r="DN11" s="86"/>
      <c r="DO11" s="86"/>
      <c r="DP11" s="86"/>
      <c r="DQ11" s="86"/>
      <c r="DR11" s="86"/>
      <c r="DS11" s="86"/>
      <c r="DT11" s="86"/>
      <c r="DU11" s="86"/>
      <c r="DV11" s="86"/>
      <c r="DW11" s="86"/>
      <c r="DX11" s="86"/>
      <c r="DY11" s="86"/>
      <c r="DZ11" s="86"/>
      <c r="EA11" s="86"/>
      <c r="EB11" s="86"/>
      <c r="EC11" s="86"/>
      <c r="ED11" s="86"/>
      <c r="EE11" s="86"/>
      <c r="EF11" s="86"/>
      <c r="EG11" s="86"/>
      <c r="EH11" s="86"/>
      <c r="EI11" s="86"/>
      <c r="EJ11" s="86"/>
      <c r="EK11" s="86"/>
      <c r="EL11" s="86"/>
      <c r="EM11" s="86"/>
      <c r="EN11" s="86"/>
      <c r="EO11" s="86"/>
      <c r="EP11" s="86"/>
      <c r="EQ11" s="86"/>
      <c r="ER11" s="86"/>
      <c r="ES11" s="86"/>
      <c r="ET11" s="86"/>
      <c r="EU11" s="86"/>
      <c r="EV11" s="86"/>
      <c r="EW11" s="86"/>
      <c r="EX11" s="86"/>
      <c r="EY11" s="86"/>
      <c r="EZ11" s="86"/>
      <c r="FA11" s="86"/>
      <c r="FB11" s="86"/>
      <c r="FC11" s="86"/>
      <c r="FD11" s="86"/>
      <c r="FE11" s="86"/>
      <c r="FF11" s="86"/>
      <c r="FG11" s="86"/>
      <c r="FH11" s="86"/>
      <c r="FI11" s="86"/>
      <c r="FJ11" s="86"/>
      <c r="FK11" s="86"/>
      <c r="FL11" s="86"/>
      <c r="FM11" s="86"/>
      <c r="FN11" s="86"/>
      <c r="FO11" s="86"/>
      <c r="FP11" s="86"/>
      <c r="FQ11" s="86"/>
      <c r="FR11" s="86"/>
      <c r="FS11" s="86"/>
      <c r="FT11" s="86"/>
      <c r="FU11" s="86"/>
      <c r="FV11" s="86"/>
      <c r="FW11" s="86"/>
      <c r="FX11" s="86"/>
      <c r="FY11" s="86"/>
      <c r="FZ11" s="86"/>
      <c r="GA11" s="86"/>
      <c r="GB11" s="86"/>
      <c r="GC11" s="86"/>
      <c r="GD11" s="86"/>
      <c r="GE11" s="86"/>
      <c r="GF11" s="86"/>
      <c r="GG11" s="86"/>
      <c r="GH11" s="86"/>
      <c r="GI11" s="86"/>
      <c r="GJ11" s="86"/>
      <c r="GK11" s="86"/>
      <c r="GL11" s="86"/>
      <c r="GM11" s="86"/>
      <c r="GN11" s="86"/>
      <c r="GO11" s="86"/>
      <c r="GP11" s="86"/>
      <c r="GQ11" s="86"/>
      <c r="GR11" s="86"/>
      <c r="GS11" s="86"/>
      <c r="GT11" s="86"/>
      <c r="GU11" s="86"/>
      <c r="GV11" s="86"/>
      <c r="GW11" s="86"/>
      <c r="GX11" s="86"/>
      <c r="GY11" s="86"/>
      <c r="GZ11" s="86"/>
      <c r="HA11" s="86"/>
      <c r="HB11" s="86"/>
      <c r="HC11" s="86"/>
      <c r="HD11" s="86"/>
      <c r="HE11" s="86"/>
      <c r="HF11" s="86"/>
      <c r="HG11" s="86"/>
      <c r="HH11" s="86"/>
      <c r="HI11" s="86"/>
      <c r="HJ11" s="86"/>
      <c r="HK11" s="86"/>
      <c r="HL11" s="86"/>
      <c r="HM11" s="86"/>
      <c r="HN11" s="86"/>
      <c r="HO11" s="86"/>
      <c r="HP11" s="86"/>
      <c r="HQ11" s="86"/>
      <c r="HR11" s="86"/>
      <c r="HS11" s="86"/>
      <c r="HT11" s="86"/>
      <c r="HU11" s="86"/>
      <c r="HV11" s="86"/>
      <c r="HW11" s="86"/>
      <c r="HX11" s="86"/>
      <c r="HY11" s="86"/>
      <c r="HZ11" s="86"/>
      <c r="IA11" s="86"/>
      <c r="IB11" s="86"/>
      <c r="IC11" s="86"/>
      <c r="ID11" s="86"/>
      <c r="IE11" s="86"/>
      <c r="IF11" s="86"/>
      <c r="IG11" s="86"/>
      <c r="IH11" s="86"/>
      <c r="II11" s="86"/>
      <c r="IJ11" s="86"/>
      <c r="IK11" s="86"/>
      <c r="IL11" s="86"/>
      <c r="IM11" s="86"/>
      <c r="IN11" s="86"/>
      <c r="IO11" s="86"/>
      <c r="IP11" s="86"/>
      <c r="IQ11" s="86"/>
      <c r="IR11" s="86"/>
      <c r="IS11" s="86"/>
      <c r="IT11" s="86"/>
      <c r="IU11" s="86"/>
      <c r="IV11" s="86"/>
      <c r="IW11" s="86"/>
    </row>
    <row r="12" spans="1:257" s="91" customFormat="1" ht="16.2" customHeight="1">
      <c r="A12" s="86"/>
      <c r="B12" s="92">
        <f>$B$1*$B$2+$B$3*985</f>
        <v>43723</v>
      </c>
      <c r="C12" s="92">
        <f>$B$1*$B$2+$B$3*864</f>
        <v>43602</v>
      </c>
      <c r="D12" s="94">
        <f>$B$1*$B$2+$B$3*751</f>
        <v>43489</v>
      </c>
      <c r="E12" s="94">
        <f>$B$1*$B$2+$B$3*646</f>
        <v>43384</v>
      </c>
      <c r="F12" s="94">
        <f>$B$1*$B$2+$B$3*549</f>
        <v>43287</v>
      </c>
      <c r="G12" s="94">
        <f>$B$1*$B$2+$B$3*460</f>
        <v>43198</v>
      </c>
      <c r="H12" s="94">
        <f>$B$1*$B$2+$B$3*379</f>
        <v>43117</v>
      </c>
      <c r="I12" s="87">
        <f>$B$1*$B$2+$B$3*306</f>
        <v>43044</v>
      </c>
      <c r="J12" s="95">
        <f>$B$1*$B$2+$B$3*307</f>
        <v>43045</v>
      </c>
      <c r="K12" s="95">
        <f>$B$1*$B$2+$B$3*308</f>
        <v>43046</v>
      </c>
      <c r="L12" s="95">
        <f>$B$1*$B$2+$B$3*309</f>
        <v>43047</v>
      </c>
      <c r="M12" s="95">
        <f>$B$1*$B$2+$B$3*310</f>
        <v>43048</v>
      </c>
      <c r="N12" s="95">
        <f>$B$1*$B$2+$B$3*311</f>
        <v>43049</v>
      </c>
      <c r="O12" s="95">
        <f>$B$1*$B$2+$B$3*312</f>
        <v>43050</v>
      </c>
      <c r="P12" s="95">
        <f>$B$1*$B$2+$B$3*313</f>
        <v>43051</v>
      </c>
      <c r="Q12" s="95">
        <f>$B$1*$B$2+$B$3*314</f>
        <v>43052</v>
      </c>
      <c r="R12" s="96">
        <f>$B$1*$B$2+$B$3*315</f>
        <v>43053</v>
      </c>
      <c r="S12" s="95">
        <f>$B$1*$B$2+$B$3*316</f>
        <v>43054</v>
      </c>
      <c r="T12" s="95">
        <f>$B$1*$B$2+$B$3*317</f>
        <v>43055</v>
      </c>
      <c r="U12" s="95">
        <f>$B$1*$B$2+$B$3*318</f>
        <v>43056</v>
      </c>
      <c r="V12" s="95">
        <f>$B$1*$B$2+$B$3*319</f>
        <v>43057</v>
      </c>
      <c r="W12" s="95">
        <f>$B$1*$B$2+$B$3*320</f>
        <v>43058</v>
      </c>
      <c r="X12" s="95">
        <f>$B$1*$B$2+$B$3*321</f>
        <v>43059</v>
      </c>
      <c r="Y12" s="95">
        <f>$B$1*$B$2+$B$3*322</f>
        <v>43060</v>
      </c>
      <c r="Z12" s="95">
        <f>$B$1*$B$2+$B$3*323</f>
        <v>43061</v>
      </c>
      <c r="AA12" s="90">
        <f>$B$1*$B$2+$B$3*324</f>
        <v>43062</v>
      </c>
      <c r="AB12" s="93">
        <f>$B$1*$B$2+$B$3*401</f>
        <v>43139</v>
      </c>
      <c r="AC12" s="93">
        <f>$B$1*$B$2+$B$3*486</f>
        <v>43224</v>
      </c>
      <c r="AD12" s="93">
        <f>$B$1*$B$2+$B$3*579</f>
        <v>43317</v>
      </c>
      <c r="AE12" s="93">
        <f>$B$1*$B$2+$B$3*680</f>
        <v>43418</v>
      </c>
      <c r="AF12" s="93">
        <f>$B$1*$B$2+$B$3*789</f>
        <v>43527</v>
      </c>
      <c r="AG12" s="93">
        <f>$B$1*$B$2+$B$3*906</f>
        <v>43644</v>
      </c>
      <c r="AH12" s="92">
        <f>$B$1*$B$2+$B$3*1031</f>
        <v>43769</v>
      </c>
      <c r="AI12" s="86"/>
      <c r="AJ12" s="86"/>
      <c r="AK12" s="86"/>
      <c r="AL12" s="86"/>
      <c r="AM12" s="86"/>
      <c r="AN12" s="86"/>
      <c r="AO12" s="86"/>
      <c r="AP12" s="86"/>
      <c r="AQ12" s="86"/>
      <c r="AR12" s="86"/>
      <c r="AS12" s="86"/>
      <c r="AT12" s="86"/>
      <c r="AU12" s="86"/>
      <c r="AV12" s="86"/>
      <c r="AW12" s="86"/>
      <c r="AX12" s="86"/>
      <c r="AY12" s="86"/>
      <c r="AZ12" s="86"/>
      <c r="BA12" s="86"/>
      <c r="BB12" s="86"/>
      <c r="BC12" s="86"/>
      <c r="BD12" s="86"/>
      <c r="BE12" s="86"/>
      <c r="BF12" s="86"/>
      <c r="BG12" s="86"/>
      <c r="BH12" s="86"/>
      <c r="BI12" s="86"/>
      <c r="BJ12" s="86"/>
      <c r="BK12" s="86"/>
      <c r="BL12" s="86"/>
      <c r="BM12" s="86"/>
      <c r="BN12" s="86"/>
      <c r="BO12" s="86"/>
      <c r="BP12" s="86"/>
      <c r="BQ12" s="86"/>
      <c r="BR12" s="86"/>
      <c r="BS12" s="86"/>
      <c r="BT12" s="86"/>
      <c r="BU12" s="86"/>
      <c r="BV12" s="86"/>
      <c r="BW12" s="86"/>
      <c r="BX12" s="86"/>
      <c r="BY12" s="86"/>
      <c r="BZ12" s="86"/>
      <c r="CA12" s="86"/>
      <c r="CB12" s="86"/>
      <c r="CC12" s="86"/>
      <c r="CD12" s="86"/>
      <c r="CE12" s="86"/>
      <c r="CF12" s="86"/>
      <c r="CG12" s="86"/>
      <c r="CH12" s="86"/>
      <c r="CI12" s="86"/>
      <c r="CJ12" s="86"/>
      <c r="CK12" s="86"/>
      <c r="CL12" s="86"/>
      <c r="CM12" s="86"/>
      <c r="CN12" s="86"/>
      <c r="CO12" s="86"/>
      <c r="CP12" s="86"/>
      <c r="CQ12" s="86"/>
      <c r="CR12" s="86"/>
      <c r="CS12" s="86"/>
      <c r="CT12" s="86"/>
      <c r="CU12" s="86"/>
      <c r="CV12" s="86"/>
      <c r="CW12" s="86"/>
      <c r="CX12" s="86"/>
      <c r="CY12" s="86"/>
      <c r="CZ12" s="86"/>
      <c r="DA12" s="86"/>
      <c r="DB12" s="86"/>
      <c r="DC12" s="86"/>
      <c r="DD12" s="86"/>
      <c r="DE12" s="86"/>
      <c r="DF12" s="86"/>
      <c r="DG12" s="86"/>
      <c r="DH12" s="86"/>
      <c r="DI12" s="86"/>
      <c r="DJ12" s="86"/>
      <c r="DK12" s="86"/>
      <c r="DL12" s="86"/>
      <c r="DM12" s="86"/>
      <c r="DN12" s="86"/>
      <c r="DO12" s="86"/>
      <c r="DP12" s="86"/>
      <c r="DQ12" s="86"/>
      <c r="DR12" s="86"/>
      <c r="DS12" s="86"/>
      <c r="DT12" s="86"/>
      <c r="DU12" s="86"/>
      <c r="DV12" s="86"/>
      <c r="DW12" s="86"/>
      <c r="DX12" s="86"/>
      <c r="DY12" s="86"/>
      <c r="DZ12" s="86"/>
      <c r="EA12" s="86"/>
      <c r="EB12" s="86"/>
      <c r="EC12" s="86"/>
      <c r="ED12" s="86"/>
      <c r="EE12" s="86"/>
      <c r="EF12" s="86"/>
      <c r="EG12" s="86"/>
      <c r="EH12" s="86"/>
      <c r="EI12" s="86"/>
      <c r="EJ12" s="86"/>
      <c r="EK12" s="86"/>
      <c r="EL12" s="86"/>
      <c r="EM12" s="86"/>
      <c r="EN12" s="86"/>
      <c r="EO12" s="86"/>
      <c r="EP12" s="86"/>
      <c r="EQ12" s="86"/>
      <c r="ER12" s="86"/>
      <c r="ES12" s="86"/>
      <c r="ET12" s="86"/>
      <c r="EU12" s="86"/>
      <c r="EV12" s="86"/>
      <c r="EW12" s="86"/>
      <c r="EX12" s="86"/>
      <c r="EY12" s="86"/>
      <c r="EZ12" s="86"/>
      <c r="FA12" s="86"/>
      <c r="FB12" s="86"/>
      <c r="FC12" s="86"/>
      <c r="FD12" s="86"/>
      <c r="FE12" s="86"/>
      <c r="FF12" s="86"/>
      <c r="FG12" s="86"/>
      <c r="FH12" s="86"/>
      <c r="FI12" s="86"/>
      <c r="FJ12" s="86"/>
      <c r="FK12" s="86"/>
      <c r="FL12" s="86"/>
      <c r="FM12" s="86"/>
      <c r="FN12" s="86"/>
      <c r="FO12" s="86"/>
      <c r="FP12" s="86"/>
      <c r="FQ12" s="86"/>
      <c r="FR12" s="86"/>
      <c r="FS12" s="86"/>
      <c r="FT12" s="86"/>
      <c r="FU12" s="86"/>
      <c r="FV12" s="86"/>
      <c r="FW12" s="86"/>
      <c r="FX12" s="86"/>
      <c r="FY12" s="86"/>
      <c r="FZ12" s="86"/>
      <c r="GA12" s="86"/>
      <c r="GB12" s="86"/>
      <c r="GC12" s="86"/>
      <c r="GD12" s="86"/>
      <c r="GE12" s="86"/>
      <c r="GF12" s="86"/>
      <c r="GG12" s="86"/>
      <c r="GH12" s="86"/>
      <c r="GI12" s="86"/>
      <c r="GJ12" s="86"/>
      <c r="GK12" s="86"/>
      <c r="GL12" s="86"/>
      <c r="GM12" s="86"/>
      <c r="GN12" s="86"/>
      <c r="GO12" s="86"/>
      <c r="GP12" s="86"/>
      <c r="GQ12" s="86"/>
      <c r="GR12" s="86"/>
      <c r="GS12" s="86"/>
      <c r="GT12" s="86"/>
      <c r="GU12" s="86"/>
      <c r="GV12" s="86"/>
      <c r="GW12" s="86"/>
      <c r="GX12" s="86"/>
      <c r="GY12" s="86"/>
      <c r="GZ12" s="86"/>
      <c r="HA12" s="86"/>
      <c r="HB12" s="86"/>
      <c r="HC12" s="86"/>
      <c r="HD12" s="86"/>
      <c r="HE12" s="86"/>
      <c r="HF12" s="86"/>
      <c r="HG12" s="86"/>
      <c r="HH12" s="86"/>
      <c r="HI12" s="86"/>
      <c r="HJ12" s="86"/>
      <c r="HK12" s="86"/>
      <c r="HL12" s="86"/>
      <c r="HM12" s="86"/>
      <c r="HN12" s="86"/>
      <c r="HO12" s="86"/>
      <c r="HP12" s="86"/>
      <c r="HQ12" s="86"/>
      <c r="HR12" s="86"/>
      <c r="HS12" s="86"/>
      <c r="HT12" s="86"/>
      <c r="HU12" s="86"/>
      <c r="HV12" s="86"/>
      <c r="HW12" s="86"/>
      <c r="HX12" s="86"/>
      <c r="HY12" s="86"/>
      <c r="HZ12" s="86"/>
      <c r="IA12" s="86"/>
      <c r="IB12" s="86"/>
      <c r="IC12" s="86"/>
      <c r="ID12" s="86"/>
      <c r="IE12" s="86"/>
      <c r="IF12" s="86"/>
      <c r="IG12" s="86"/>
      <c r="IH12" s="86"/>
      <c r="II12" s="86"/>
      <c r="IJ12" s="86"/>
      <c r="IK12" s="86"/>
      <c r="IL12" s="86"/>
      <c r="IM12" s="86"/>
      <c r="IN12" s="86"/>
      <c r="IO12" s="86"/>
      <c r="IP12" s="86"/>
      <c r="IQ12" s="86"/>
      <c r="IR12" s="86"/>
      <c r="IS12" s="86"/>
      <c r="IT12" s="86"/>
      <c r="IU12" s="86"/>
      <c r="IV12" s="86"/>
      <c r="IW12" s="86"/>
    </row>
    <row r="13" spans="1:257" s="91" customFormat="1" ht="16.2" customHeight="1">
      <c r="A13" s="97" t="s">
        <v>49</v>
      </c>
      <c r="B13" s="98">
        <f>$B$1*$B$2+$B$3*984</f>
        <v>43722</v>
      </c>
      <c r="C13" s="92">
        <f>$B$1*$B$2+$B$3*863</f>
        <v>43601</v>
      </c>
      <c r="D13" s="94">
        <f>$B$1*$B$2+$B$3*750</f>
        <v>43488</v>
      </c>
      <c r="E13" s="94">
        <f>$B$1*$B$2+$B$3*645</f>
        <v>43383</v>
      </c>
      <c r="F13" s="94">
        <f>$B$1*$B$2+$B$3*548</f>
        <v>43286</v>
      </c>
      <c r="G13" s="94">
        <f>$B$1*$B$2+$B$3*459</f>
        <v>43197</v>
      </c>
      <c r="H13" s="94">
        <f>$B$1*$B$2+$B$3*378</f>
        <v>43116</v>
      </c>
      <c r="I13" s="94">
        <f>$B$1*$B$2+$B$3*305</f>
        <v>43043</v>
      </c>
      <c r="J13" s="87">
        <f>$B$1*$B$2+$B$3*240</f>
        <v>42978</v>
      </c>
      <c r="K13" s="95">
        <f>$B$1*$B$2+$B$3*241</f>
        <v>42979</v>
      </c>
      <c r="L13" s="95">
        <f>$B$1*$B$2+$B$3*242</f>
        <v>42980</v>
      </c>
      <c r="M13" s="95">
        <f>$B$1*$B$2+$B$3*243</f>
        <v>42981</v>
      </c>
      <c r="N13" s="96">
        <f>$B$1*$B$2+$B$3*244</f>
        <v>42982</v>
      </c>
      <c r="O13" s="95">
        <f>$B$1*$B$2+$B$3*245</f>
        <v>42983</v>
      </c>
      <c r="P13" s="95">
        <f>$B$1*$B$2+$B$3*246</f>
        <v>42984</v>
      </c>
      <c r="Q13" s="95">
        <f>$B$1*$B$2+$B$3*247</f>
        <v>42985</v>
      </c>
      <c r="R13" s="96">
        <f>$B$1*$B$2+$B$3*248</f>
        <v>42986</v>
      </c>
      <c r="S13" s="95">
        <f>$B$1*$B$2+$B$3*249</f>
        <v>42987</v>
      </c>
      <c r="T13" s="95">
        <f>$B$1*$B$2+$B$3*250</f>
        <v>42988</v>
      </c>
      <c r="U13" s="95">
        <f>$B$1*$B$2+$B$3*251</f>
        <v>42989</v>
      </c>
      <c r="V13" s="96">
        <f>$B$1*$B$2+$B$3*252</f>
        <v>42990</v>
      </c>
      <c r="W13" s="95">
        <f>$B$1*$B$2+$B$3*253</f>
        <v>42991</v>
      </c>
      <c r="X13" s="95">
        <f>$B$1*$B$2+$B$3*254</f>
        <v>42992</v>
      </c>
      <c r="Y13" s="95">
        <f>$B$1*$B$2+$B$3*255</f>
        <v>42993</v>
      </c>
      <c r="Z13" s="90">
        <f>$B$1*$B$2+$B$3*256</f>
        <v>42994</v>
      </c>
      <c r="AA13" s="93">
        <f>$B$1*$B$2+$B$3*325</f>
        <v>43063</v>
      </c>
      <c r="AB13" s="93">
        <f>$B$1*$B$2+$B$3*402</f>
        <v>43140</v>
      </c>
      <c r="AC13" s="93">
        <f>$B$1*$B$2+$B$3*487</f>
        <v>43225</v>
      </c>
      <c r="AD13" s="93">
        <f>$B$1*$B$2+$B$3*580</f>
        <v>43318</v>
      </c>
      <c r="AE13" s="93">
        <f>$B$1*$B$2+$B$3*681</f>
        <v>43419</v>
      </c>
      <c r="AF13" s="93">
        <f>$B$1*$B$2+$B$3*790</f>
        <v>43528</v>
      </c>
      <c r="AG13" s="93">
        <f>$B$1*$B$2+$B$3*907</f>
        <v>43645</v>
      </c>
      <c r="AH13" s="98">
        <f>$B$1*$B$2+$B$3*1032</f>
        <v>43770</v>
      </c>
      <c r="AI13" s="97" t="s">
        <v>21</v>
      </c>
      <c r="AJ13" s="86"/>
      <c r="AK13" s="86"/>
      <c r="AL13" s="86"/>
      <c r="AM13" s="86"/>
      <c r="AN13" s="86"/>
      <c r="AO13" s="86"/>
      <c r="AP13" s="86"/>
      <c r="AQ13" s="86"/>
      <c r="AR13" s="86"/>
      <c r="AS13" s="86"/>
      <c r="AT13" s="86"/>
      <c r="AU13" s="86"/>
      <c r="AV13" s="86"/>
      <c r="AW13" s="86"/>
      <c r="AX13" s="86"/>
      <c r="AY13" s="86"/>
      <c r="AZ13" s="86"/>
      <c r="BA13" s="86"/>
      <c r="BB13" s="86"/>
      <c r="BC13" s="86"/>
      <c r="BD13" s="86"/>
      <c r="BE13" s="86"/>
      <c r="BF13" s="86"/>
      <c r="BG13" s="86"/>
      <c r="BH13" s="86"/>
      <c r="BI13" s="86"/>
      <c r="BJ13" s="86"/>
      <c r="BK13" s="86"/>
      <c r="BL13" s="86"/>
      <c r="BM13" s="86"/>
      <c r="BN13" s="86"/>
      <c r="BO13" s="86"/>
      <c r="BP13" s="86"/>
      <c r="BQ13" s="86"/>
      <c r="BR13" s="86"/>
      <c r="BS13" s="86"/>
      <c r="BT13" s="86"/>
      <c r="BU13" s="86"/>
      <c r="BV13" s="86"/>
      <c r="BW13" s="86"/>
      <c r="BX13" s="86"/>
      <c r="BY13" s="86"/>
      <c r="BZ13" s="86"/>
      <c r="CA13" s="86"/>
      <c r="CB13" s="86"/>
      <c r="CC13" s="86"/>
      <c r="CD13" s="86"/>
      <c r="CE13" s="86"/>
      <c r="CF13" s="86"/>
      <c r="CG13" s="86"/>
      <c r="CH13" s="86"/>
      <c r="CI13" s="86"/>
      <c r="CJ13" s="86"/>
      <c r="CK13" s="86"/>
      <c r="CL13" s="86"/>
      <c r="CM13" s="86"/>
      <c r="CN13" s="86"/>
      <c r="CO13" s="86"/>
      <c r="CP13" s="86"/>
      <c r="CQ13" s="86"/>
      <c r="CR13" s="86"/>
      <c r="CS13" s="86"/>
      <c r="CT13" s="86"/>
      <c r="CU13" s="86"/>
      <c r="CV13" s="86"/>
      <c r="CW13" s="86"/>
      <c r="CX13" s="86"/>
      <c r="CY13" s="86"/>
      <c r="CZ13" s="86"/>
      <c r="DA13" s="86"/>
      <c r="DB13" s="86"/>
      <c r="DC13" s="86"/>
      <c r="DD13" s="86"/>
      <c r="DE13" s="86"/>
      <c r="DF13" s="86"/>
      <c r="DG13" s="86"/>
      <c r="DH13" s="86"/>
      <c r="DI13" s="86"/>
      <c r="DJ13" s="86"/>
      <c r="DK13" s="86"/>
      <c r="DL13" s="86"/>
      <c r="DM13" s="86"/>
      <c r="DN13" s="86"/>
      <c r="DO13" s="86"/>
      <c r="DP13" s="86"/>
      <c r="DQ13" s="86"/>
      <c r="DR13" s="86"/>
      <c r="DS13" s="86"/>
      <c r="DT13" s="86"/>
      <c r="DU13" s="86"/>
      <c r="DV13" s="86"/>
      <c r="DW13" s="86"/>
      <c r="DX13" s="86"/>
      <c r="DY13" s="86"/>
      <c r="DZ13" s="86"/>
      <c r="EA13" s="86"/>
      <c r="EB13" s="86"/>
      <c r="EC13" s="86"/>
      <c r="ED13" s="86"/>
      <c r="EE13" s="86"/>
      <c r="EF13" s="86"/>
      <c r="EG13" s="86"/>
      <c r="EH13" s="86"/>
      <c r="EI13" s="86"/>
      <c r="EJ13" s="86"/>
      <c r="EK13" s="86"/>
      <c r="EL13" s="86"/>
      <c r="EM13" s="86"/>
      <c r="EN13" s="86"/>
      <c r="EO13" s="86"/>
      <c r="EP13" s="86"/>
      <c r="EQ13" s="86"/>
      <c r="ER13" s="86"/>
      <c r="ES13" s="86"/>
      <c r="ET13" s="86"/>
      <c r="EU13" s="86"/>
      <c r="EV13" s="86"/>
      <c r="EW13" s="86"/>
      <c r="EX13" s="86"/>
      <c r="EY13" s="86"/>
      <c r="EZ13" s="86"/>
      <c r="FA13" s="86"/>
      <c r="FB13" s="86"/>
      <c r="FC13" s="86"/>
      <c r="FD13" s="86"/>
      <c r="FE13" s="86"/>
      <c r="FF13" s="86"/>
      <c r="FG13" s="86"/>
      <c r="FH13" s="86"/>
      <c r="FI13" s="86"/>
      <c r="FJ13" s="86"/>
      <c r="FK13" s="86"/>
      <c r="FL13" s="86"/>
      <c r="FM13" s="86"/>
      <c r="FN13" s="86"/>
      <c r="FO13" s="86"/>
      <c r="FP13" s="86"/>
      <c r="FQ13" s="86"/>
      <c r="FR13" s="86"/>
      <c r="FS13" s="86"/>
      <c r="FT13" s="86"/>
      <c r="FU13" s="86"/>
      <c r="FV13" s="86"/>
      <c r="FW13" s="86"/>
      <c r="FX13" s="86"/>
      <c r="FY13" s="86"/>
      <c r="FZ13" s="86"/>
      <c r="GA13" s="86"/>
      <c r="GB13" s="86"/>
      <c r="GC13" s="86"/>
      <c r="GD13" s="86"/>
      <c r="GE13" s="86"/>
      <c r="GF13" s="86"/>
      <c r="GG13" s="86"/>
      <c r="GH13" s="86"/>
      <c r="GI13" s="86"/>
      <c r="GJ13" s="86"/>
      <c r="GK13" s="86"/>
      <c r="GL13" s="86"/>
      <c r="GM13" s="86"/>
      <c r="GN13" s="86"/>
      <c r="GO13" s="86"/>
      <c r="GP13" s="86"/>
      <c r="GQ13" s="86"/>
      <c r="GR13" s="86"/>
      <c r="GS13" s="86"/>
      <c r="GT13" s="86"/>
      <c r="GU13" s="86"/>
      <c r="GV13" s="86"/>
      <c r="GW13" s="86"/>
      <c r="GX13" s="86"/>
      <c r="GY13" s="86"/>
      <c r="GZ13" s="86"/>
      <c r="HA13" s="86"/>
      <c r="HB13" s="86"/>
      <c r="HC13" s="86"/>
      <c r="HD13" s="86"/>
      <c r="HE13" s="86"/>
      <c r="HF13" s="86"/>
      <c r="HG13" s="86"/>
      <c r="HH13" s="86"/>
      <c r="HI13" s="86"/>
      <c r="HJ13" s="86"/>
      <c r="HK13" s="86"/>
      <c r="HL13" s="86"/>
      <c r="HM13" s="86"/>
      <c r="HN13" s="86"/>
      <c r="HO13" s="86"/>
      <c r="HP13" s="86"/>
      <c r="HQ13" s="86"/>
      <c r="HR13" s="86"/>
      <c r="HS13" s="86"/>
      <c r="HT13" s="86"/>
      <c r="HU13" s="86"/>
      <c r="HV13" s="86"/>
      <c r="HW13" s="86"/>
      <c r="HX13" s="86"/>
      <c r="HY13" s="86"/>
      <c r="HZ13" s="86"/>
      <c r="IA13" s="86"/>
      <c r="IB13" s="86"/>
      <c r="IC13" s="86"/>
      <c r="ID13" s="86"/>
      <c r="IE13" s="86"/>
      <c r="IF13" s="86"/>
      <c r="IG13" s="86"/>
      <c r="IH13" s="86"/>
      <c r="II13" s="86"/>
      <c r="IJ13" s="86"/>
      <c r="IK13" s="86"/>
      <c r="IL13" s="86"/>
      <c r="IM13" s="86"/>
      <c r="IN13" s="86"/>
      <c r="IO13" s="86"/>
      <c r="IP13" s="86"/>
      <c r="IQ13" s="86"/>
      <c r="IR13" s="86"/>
      <c r="IS13" s="86"/>
      <c r="IT13" s="86"/>
      <c r="IU13" s="86"/>
      <c r="IV13" s="86"/>
      <c r="IW13" s="86"/>
    </row>
    <row r="14" spans="1:257" s="91" customFormat="1" ht="16.2" customHeight="1">
      <c r="A14" s="99"/>
      <c r="B14" s="92">
        <f>$B$1*$B$2+$B$3*983</f>
        <v>43721</v>
      </c>
      <c r="C14" s="92">
        <f>$B$1*$B$2+$B$3*862</f>
        <v>43600</v>
      </c>
      <c r="D14" s="100">
        <f>$B$1*$B$2+$B$3*749</f>
        <v>43487</v>
      </c>
      <c r="E14" s="94">
        <f>$B$1*$B$2+$B$3*644</f>
        <v>43382</v>
      </c>
      <c r="F14" s="94">
        <f>$B$1*$B$2+$B$3*547</f>
        <v>43285</v>
      </c>
      <c r="G14" s="94">
        <f>$B$1*$B$2+$B$3*458</f>
        <v>43196</v>
      </c>
      <c r="H14" s="94">
        <f>$B$1*$B$2+$B$3*377</f>
        <v>43115</v>
      </c>
      <c r="I14" s="94">
        <f>$B$1*$B$2+$B$3*304</f>
        <v>43042</v>
      </c>
      <c r="J14" s="94">
        <f>$B$1*$B$2+$B$3*239</f>
        <v>42977</v>
      </c>
      <c r="K14" s="87">
        <f>$B$1*$B$2+$B$3*182</f>
        <v>42920</v>
      </c>
      <c r="L14" s="88">
        <f>$B$1*$B$2+$B$3*183</f>
        <v>42921</v>
      </c>
      <c r="M14" s="88">
        <f>$B$1*$B$2+$B$3*184</f>
        <v>42922</v>
      </c>
      <c r="N14" s="88">
        <f>$B$1*$B$2+$B$3*185</f>
        <v>42923</v>
      </c>
      <c r="O14" s="88">
        <f>$B$1*$B$2+$B$3*186</f>
        <v>42924</v>
      </c>
      <c r="P14" s="88">
        <f>$B$1*$B$2+$B$3*187</f>
        <v>42925</v>
      </c>
      <c r="Q14" s="88">
        <f>$B$1*$B$2+$B$3*188</f>
        <v>42926</v>
      </c>
      <c r="R14" s="89">
        <f>$B$1*$B$2+$B$3*189</f>
        <v>42927</v>
      </c>
      <c r="S14" s="88">
        <f>$B$1*$B$2+$B$3*190</f>
        <v>42928</v>
      </c>
      <c r="T14" s="88">
        <f>$B$1*$B$2+$B$3*191</f>
        <v>42929</v>
      </c>
      <c r="U14" s="88">
        <f>$B$1*$B$2+$B$3*192</f>
        <v>42930</v>
      </c>
      <c r="V14" s="88">
        <f>$B$1*$B$2+$B$3*193</f>
        <v>42931</v>
      </c>
      <c r="W14" s="88">
        <f>$B$1*$B$2+$B$3*194</f>
        <v>42932</v>
      </c>
      <c r="X14" s="88">
        <f>$B$1*$B$2+$B$3*195</f>
        <v>42933</v>
      </c>
      <c r="Y14" s="90">
        <f>$B$1*$B$2+$B$3*196</f>
        <v>42934</v>
      </c>
      <c r="Z14" s="93">
        <f>$B$1*$B$2+$B$3*257</f>
        <v>42995</v>
      </c>
      <c r="AA14" s="93">
        <f>$B$1*$B$2+$B$3*326</f>
        <v>43064</v>
      </c>
      <c r="AB14" s="93">
        <f>$B$1*$B$2+$B$3*403</f>
        <v>43141</v>
      </c>
      <c r="AC14" s="93">
        <f>$B$1*$B$2+$B$3*488</f>
        <v>43226</v>
      </c>
      <c r="AD14" s="93">
        <f>$B$1*$B$2+$B$3*581</f>
        <v>43319</v>
      </c>
      <c r="AE14" s="93">
        <f>$B$1*$B$2+$B$3*682</f>
        <v>43420</v>
      </c>
      <c r="AF14" s="101">
        <f>$B$1*$B$2+$B$3*791</f>
        <v>43529</v>
      </c>
      <c r="AG14" s="93">
        <f>$B$1*$B$2+$B$3*908</f>
        <v>43646</v>
      </c>
      <c r="AH14" s="92">
        <f>$B$1*$B$2+$B$3*1033</f>
        <v>43771</v>
      </c>
      <c r="AI14" s="102"/>
      <c r="AJ14" s="86"/>
      <c r="AK14" s="86"/>
      <c r="AL14" s="86"/>
      <c r="AM14" s="86"/>
      <c r="AN14" s="86"/>
      <c r="AO14" s="86"/>
      <c r="AP14" s="86"/>
      <c r="AQ14" s="86"/>
      <c r="AR14" s="86"/>
      <c r="AS14" s="86"/>
      <c r="AT14" s="86"/>
      <c r="AU14" s="86"/>
      <c r="AV14" s="86"/>
      <c r="AW14" s="86"/>
      <c r="AX14" s="86"/>
      <c r="AY14" s="86"/>
      <c r="AZ14" s="86"/>
      <c r="BA14" s="86"/>
      <c r="BB14" s="86"/>
      <c r="BC14" s="86"/>
      <c r="BD14" s="86"/>
      <c r="BE14" s="86"/>
      <c r="BF14" s="86"/>
      <c r="BG14" s="86"/>
      <c r="BH14" s="86"/>
      <c r="BI14" s="86"/>
      <c r="BJ14" s="86"/>
      <c r="BK14" s="86"/>
      <c r="BL14" s="86"/>
      <c r="BM14" s="86"/>
      <c r="BN14" s="86"/>
      <c r="BO14" s="86"/>
      <c r="BP14" s="86"/>
      <c r="BQ14" s="86"/>
      <c r="BR14" s="86"/>
      <c r="BS14" s="86"/>
      <c r="BT14" s="86"/>
      <c r="BU14" s="86"/>
      <c r="BV14" s="86"/>
      <c r="BW14" s="86"/>
      <c r="BX14" s="86"/>
      <c r="BY14" s="86"/>
      <c r="BZ14" s="86"/>
      <c r="CA14" s="86"/>
      <c r="CB14" s="86"/>
      <c r="CC14" s="86"/>
      <c r="CD14" s="86"/>
      <c r="CE14" s="86"/>
      <c r="CF14" s="86"/>
      <c r="CG14" s="86"/>
      <c r="CH14" s="86"/>
      <c r="CI14" s="86"/>
      <c r="CJ14" s="86"/>
      <c r="CK14" s="86"/>
      <c r="CL14" s="86"/>
      <c r="CM14" s="86"/>
      <c r="CN14" s="86"/>
      <c r="CO14" s="86"/>
      <c r="CP14" s="86"/>
      <c r="CQ14" s="86"/>
      <c r="CR14" s="86"/>
      <c r="CS14" s="86"/>
      <c r="CT14" s="86"/>
      <c r="CU14" s="86"/>
      <c r="CV14" s="86"/>
      <c r="CW14" s="86"/>
      <c r="CX14" s="86"/>
      <c r="CY14" s="86"/>
      <c r="CZ14" s="86"/>
      <c r="DA14" s="86"/>
      <c r="DB14" s="86"/>
      <c r="DC14" s="86"/>
      <c r="DD14" s="86"/>
      <c r="DE14" s="86"/>
      <c r="DF14" s="86"/>
      <c r="DG14" s="86"/>
      <c r="DH14" s="86"/>
      <c r="DI14" s="86"/>
      <c r="DJ14" s="86"/>
      <c r="DK14" s="86"/>
      <c r="DL14" s="86"/>
      <c r="DM14" s="86"/>
      <c r="DN14" s="86"/>
      <c r="DO14" s="86"/>
      <c r="DP14" s="86"/>
      <c r="DQ14" s="86"/>
      <c r="DR14" s="86"/>
      <c r="DS14" s="86"/>
      <c r="DT14" s="86"/>
      <c r="DU14" s="86"/>
      <c r="DV14" s="86"/>
      <c r="DW14" s="86"/>
      <c r="DX14" s="86"/>
      <c r="DY14" s="86"/>
      <c r="DZ14" s="86"/>
      <c r="EA14" s="86"/>
      <c r="EB14" s="86"/>
      <c r="EC14" s="86"/>
      <c r="ED14" s="86"/>
      <c r="EE14" s="86"/>
      <c r="EF14" s="86"/>
      <c r="EG14" s="86"/>
      <c r="EH14" s="86"/>
      <c r="EI14" s="86"/>
      <c r="EJ14" s="86"/>
      <c r="EK14" s="86"/>
      <c r="EL14" s="86"/>
      <c r="EM14" s="86"/>
      <c r="EN14" s="86"/>
      <c r="EO14" s="86"/>
      <c r="EP14" s="86"/>
      <c r="EQ14" s="86"/>
      <c r="ER14" s="86"/>
      <c r="ES14" s="86"/>
      <c r="ET14" s="86"/>
      <c r="EU14" s="86"/>
      <c r="EV14" s="86"/>
      <c r="EW14" s="86"/>
      <c r="EX14" s="86"/>
      <c r="EY14" s="86"/>
      <c r="EZ14" s="86"/>
      <c r="FA14" s="86"/>
      <c r="FB14" s="86"/>
      <c r="FC14" s="86"/>
      <c r="FD14" s="86"/>
      <c r="FE14" s="86"/>
      <c r="FF14" s="86"/>
      <c r="FG14" s="86"/>
      <c r="FH14" s="86"/>
      <c r="FI14" s="86"/>
      <c r="FJ14" s="86"/>
      <c r="FK14" s="86"/>
      <c r="FL14" s="86"/>
      <c r="FM14" s="86"/>
      <c r="FN14" s="86"/>
      <c r="FO14" s="86"/>
      <c r="FP14" s="86"/>
      <c r="FQ14" s="86"/>
      <c r="FR14" s="86"/>
      <c r="FS14" s="86"/>
      <c r="FT14" s="86"/>
      <c r="FU14" s="86"/>
      <c r="FV14" s="86"/>
      <c r="FW14" s="86"/>
      <c r="FX14" s="86"/>
      <c r="FY14" s="86"/>
      <c r="FZ14" s="86"/>
      <c r="GA14" s="86"/>
      <c r="GB14" s="86"/>
      <c r="GC14" s="86"/>
      <c r="GD14" s="86"/>
      <c r="GE14" s="86"/>
      <c r="GF14" s="86"/>
      <c r="GG14" s="86"/>
      <c r="GH14" s="86"/>
      <c r="GI14" s="86"/>
      <c r="GJ14" s="86"/>
      <c r="GK14" s="86"/>
      <c r="GL14" s="86"/>
      <c r="GM14" s="86"/>
      <c r="GN14" s="86"/>
      <c r="GO14" s="86"/>
      <c r="GP14" s="86"/>
      <c r="GQ14" s="86"/>
      <c r="GR14" s="86"/>
      <c r="GS14" s="86"/>
      <c r="GT14" s="86"/>
      <c r="GU14" s="86"/>
      <c r="GV14" s="86"/>
      <c r="GW14" s="86"/>
      <c r="GX14" s="86"/>
      <c r="GY14" s="86"/>
      <c r="GZ14" s="86"/>
      <c r="HA14" s="86"/>
      <c r="HB14" s="86"/>
      <c r="HC14" s="86"/>
      <c r="HD14" s="86"/>
      <c r="HE14" s="86"/>
      <c r="HF14" s="86"/>
      <c r="HG14" s="86"/>
      <c r="HH14" s="86"/>
      <c r="HI14" s="86"/>
      <c r="HJ14" s="86"/>
      <c r="HK14" s="86"/>
      <c r="HL14" s="86"/>
      <c r="HM14" s="86"/>
      <c r="HN14" s="86"/>
      <c r="HO14" s="86"/>
      <c r="HP14" s="86"/>
      <c r="HQ14" s="86"/>
      <c r="HR14" s="86"/>
      <c r="HS14" s="86"/>
      <c r="HT14" s="86"/>
      <c r="HU14" s="86"/>
      <c r="HV14" s="86"/>
      <c r="HW14" s="86"/>
      <c r="HX14" s="86"/>
      <c r="HY14" s="86"/>
      <c r="HZ14" s="86"/>
      <c r="IA14" s="86"/>
      <c r="IB14" s="86"/>
      <c r="IC14" s="86"/>
      <c r="ID14" s="86"/>
      <c r="IE14" s="86"/>
      <c r="IF14" s="86"/>
      <c r="IG14" s="86"/>
      <c r="IH14" s="86"/>
      <c r="II14" s="86"/>
      <c r="IJ14" s="86"/>
      <c r="IK14" s="86"/>
      <c r="IL14" s="86"/>
      <c r="IM14" s="86"/>
      <c r="IN14" s="86"/>
      <c r="IO14" s="86"/>
      <c r="IP14" s="86"/>
      <c r="IQ14" s="86"/>
      <c r="IR14" s="86"/>
      <c r="IS14" s="86"/>
      <c r="IT14" s="86"/>
      <c r="IU14" s="86"/>
      <c r="IV14" s="86"/>
      <c r="IW14" s="86"/>
    </row>
    <row r="15" spans="1:257" s="91" customFormat="1" ht="16.2" customHeight="1">
      <c r="A15" s="86"/>
      <c r="B15" s="92">
        <f>$B$1*$B$2+$B$3*982</f>
        <v>43720</v>
      </c>
      <c r="C15" s="92">
        <f>$B$1*$B$2+$B$3*861</f>
        <v>43599</v>
      </c>
      <c r="D15" s="94">
        <f>$B$1*$B$2+$B$3*748</f>
        <v>43486</v>
      </c>
      <c r="E15" s="94">
        <f>$B$1*$B$2+$B$3*643</f>
        <v>43381</v>
      </c>
      <c r="F15" s="100">
        <f>$B$1*$B$2+$B$3*546</f>
        <v>43284</v>
      </c>
      <c r="G15" s="94">
        <f>$B$1*$B$2+$B$3*457</f>
        <v>43195</v>
      </c>
      <c r="H15" s="94">
        <f>$B$1*$B$2+$B$3*376</f>
        <v>43114</v>
      </c>
      <c r="I15" s="94">
        <f>$B$1*$B$2+$B$3*303</f>
        <v>43041</v>
      </c>
      <c r="J15" s="94">
        <f>$B$1*$B$2+$B$3*238</f>
        <v>42976</v>
      </c>
      <c r="K15" s="94">
        <f>$B$1*$B$2+$B$3*181</f>
        <v>42919</v>
      </c>
      <c r="L15" s="87">
        <f>$B$1*$B$2+$B$3*132</f>
        <v>42870</v>
      </c>
      <c r="M15" s="95">
        <f>$B$1*$B$2+$B$3*133</f>
        <v>42871</v>
      </c>
      <c r="N15" s="95">
        <f>$B$1*$B$2+$B$3*134</f>
        <v>42872</v>
      </c>
      <c r="O15" s="96">
        <f>$B$1*$B$2+$B$3*135</f>
        <v>42873</v>
      </c>
      <c r="P15" s="95">
        <f>$B$1*$B$2+$B$3*136</f>
        <v>42874</v>
      </c>
      <c r="Q15" s="95">
        <f>$B$1*$B$2+$B$3*137</f>
        <v>42875</v>
      </c>
      <c r="R15" s="96">
        <f>$B$1*$B$2+$B$3*138</f>
        <v>42876</v>
      </c>
      <c r="S15" s="95">
        <f>$B$1*$B$2+$B$3*139</f>
        <v>42877</v>
      </c>
      <c r="T15" s="95">
        <f>$B$1*$B$2+$B$3*140</f>
        <v>42878</v>
      </c>
      <c r="U15" s="96">
        <f>$B$1*$B$2+$B$3*141</f>
        <v>42879</v>
      </c>
      <c r="V15" s="95">
        <f>$B$1*$B$2+$B$3*142</f>
        <v>42880</v>
      </c>
      <c r="W15" s="95">
        <f>$B$1*$B$2+$B$3*143</f>
        <v>42881</v>
      </c>
      <c r="X15" s="90">
        <f>$B$1*$B$2+$B$3*144</f>
        <v>42882</v>
      </c>
      <c r="Y15" s="93">
        <f>$B$1*$B$2+$B$3*197</f>
        <v>42935</v>
      </c>
      <c r="Z15" s="93">
        <f>$B$1*$B$2+$B$3*258</f>
        <v>42996</v>
      </c>
      <c r="AA15" s="93">
        <f>$B$1*$B$2+$B$3*327</f>
        <v>43065</v>
      </c>
      <c r="AB15" s="93">
        <f>$B$1*$B$2+$B$3*404</f>
        <v>43142</v>
      </c>
      <c r="AC15" s="93">
        <f>$B$1*$B$2+$B$3*489</f>
        <v>43227</v>
      </c>
      <c r="AD15" s="101">
        <f>$B$1*$B$2+$B$3*582</f>
        <v>43320</v>
      </c>
      <c r="AE15" s="93">
        <f>$B$1*$B$2+$B$3*683</f>
        <v>43421</v>
      </c>
      <c r="AF15" s="93">
        <f>$B$1*$B$2+$B$3*792</f>
        <v>43530</v>
      </c>
      <c r="AG15" s="93">
        <f>$B$1*$B$2+$B$3*909</f>
        <v>43647</v>
      </c>
      <c r="AH15" s="92">
        <f>$B$1*$B$2+$B$3*1034</f>
        <v>43772</v>
      </c>
      <c r="AI15" s="86"/>
      <c r="AJ15" s="86"/>
      <c r="AK15" s="86"/>
      <c r="AL15" s="86"/>
      <c r="AM15" s="86"/>
      <c r="AN15" s="86"/>
      <c r="AO15" s="86"/>
      <c r="AP15" s="86"/>
      <c r="AQ15" s="86"/>
      <c r="AR15" s="86"/>
      <c r="AS15" s="86"/>
      <c r="AT15" s="86"/>
      <c r="AU15" s="86"/>
      <c r="AV15" s="86"/>
      <c r="AW15" s="86"/>
      <c r="AX15" s="86"/>
      <c r="AY15" s="86"/>
      <c r="AZ15" s="86"/>
      <c r="BA15" s="86"/>
      <c r="BB15" s="86"/>
      <c r="BC15" s="86"/>
      <c r="BD15" s="86"/>
      <c r="BE15" s="86"/>
      <c r="BF15" s="86"/>
      <c r="BG15" s="86"/>
      <c r="BH15" s="86"/>
      <c r="BI15" s="86"/>
      <c r="BJ15" s="86"/>
      <c r="BK15" s="86"/>
      <c r="BL15" s="86"/>
      <c r="BM15" s="86"/>
      <c r="BN15" s="86"/>
      <c r="BO15" s="86"/>
      <c r="BP15" s="86"/>
      <c r="BQ15" s="86"/>
      <c r="BR15" s="86"/>
      <c r="BS15" s="86"/>
      <c r="BT15" s="86"/>
      <c r="BU15" s="86"/>
      <c r="BV15" s="86"/>
      <c r="BW15" s="86"/>
      <c r="BX15" s="86"/>
      <c r="BY15" s="86"/>
      <c r="BZ15" s="86"/>
      <c r="CA15" s="86"/>
      <c r="CB15" s="86"/>
      <c r="CC15" s="86"/>
      <c r="CD15" s="86"/>
      <c r="CE15" s="86"/>
      <c r="CF15" s="86"/>
      <c r="CG15" s="86"/>
      <c r="CH15" s="86"/>
      <c r="CI15" s="86"/>
      <c r="CJ15" s="86"/>
      <c r="CK15" s="86"/>
      <c r="CL15" s="86"/>
      <c r="CM15" s="86"/>
      <c r="CN15" s="86"/>
      <c r="CO15" s="86"/>
      <c r="CP15" s="86"/>
      <c r="CQ15" s="86"/>
      <c r="CR15" s="86"/>
      <c r="CS15" s="86"/>
      <c r="CT15" s="86"/>
      <c r="CU15" s="86"/>
      <c r="CV15" s="86"/>
      <c r="CW15" s="86"/>
      <c r="CX15" s="86"/>
      <c r="CY15" s="86"/>
      <c r="CZ15" s="86"/>
      <c r="DA15" s="86"/>
      <c r="DB15" s="86"/>
      <c r="DC15" s="86"/>
      <c r="DD15" s="86"/>
      <c r="DE15" s="86"/>
      <c r="DF15" s="86"/>
      <c r="DG15" s="86"/>
      <c r="DH15" s="86"/>
      <c r="DI15" s="86"/>
      <c r="DJ15" s="86"/>
      <c r="DK15" s="86"/>
      <c r="DL15" s="86"/>
      <c r="DM15" s="86"/>
      <c r="DN15" s="86"/>
      <c r="DO15" s="86"/>
      <c r="DP15" s="86"/>
      <c r="DQ15" s="86"/>
      <c r="DR15" s="86"/>
      <c r="DS15" s="86"/>
      <c r="DT15" s="86"/>
      <c r="DU15" s="86"/>
      <c r="DV15" s="86"/>
      <c r="DW15" s="86"/>
      <c r="DX15" s="86"/>
      <c r="DY15" s="86"/>
      <c r="DZ15" s="86"/>
      <c r="EA15" s="86"/>
      <c r="EB15" s="86"/>
      <c r="EC15" s="86"/>
      <c r="ED15" s="86"/>
      <c r="EE15" s="86"/>
      <c r="EF15" s="86"/>
      <c r="EG15" s="86"/>
      <c r="EH15" s="86"/>
      <c r="EI15" s="86"/>
      <c r="EJ15" s="86"/>
      <c r="EK15" s="86"/>
      <c r="EL15" s="86"/>
      <c r="EM15" s="86"/>
      <c r="EN15" s="86"/>
      <c r="EO15" s="86"/>
      <c r="EP15" s="86"/>
      <c r="EQ15" s="86"/>
      <c r="ER15" s="86"/>
      <c r="ES15" s="86"/>
      <c r="ET15" s="86"/>
      <c r="EU15" s="86"/>
      <c r="EV15" s="86"/>
      <c r="EW15" s="86"/>
      <c r="EX15" s="86"/>
      <c r="EY15" s="86"/>
      <c r="EZ15" s="86"/>
      <c r="FA15" s="86"/>
      <c r="FB15" s="86"/>
      <c r="FC15" s="86"/>
      <c r="FD15" s="86"/>
      <c r="FE15" s="86"/>
      <c r="FF15" s="86"/>
      <c r="FG15" s="86"/>
      <c r="FH15" s="86"/>
      <c r="FI15" s="86"/>
      <c r="FJ15" s="86"/>
      <c r="FK15" s="86"/>
      <c r="FL15" s="86"/>
      <c r="FM15" s="86"/>
      <c r="FN15" s="86"/>
      <c r="FO15" s="86"/>
      <c r="FP15" s="86"/>
      <c r="FQ15" s="86"/>
      <c r="FR15" s="86"/>
      <c r="FS15" s="86"/>
      <c r="FT15" s="86"/>
      <c r="FU15" s="86"/>
      <c r="FV15" s="86"/>
      <c r="FW15" s="86"/>
      <c r="FX15" s="86"/>
      <c r="FY15" s="86"/>
      <c r="FZ15" s="86"/>
      <c r="GA15" s="86"/>
      <c r="GB15" s="86"/>
      <c r="GC15" s="86"/>
      <c r="GD15" s="86"/>
      <c r="GE15" s="86"/>
      <c r="GF15" s="86"/>
      <c r="GG15" s="86"/>
      <c r="GH15" s="86"/>
      <c r="GI15" s="86"/>
      <c r="GJ15" s="86"/>
      <c r="GK15" s="86"/>
      <c r="GL15" s="86"/>
      <c r="GM15" s="86"/>
      <c r="GN15" s="86"/>
      <c r="GO15" s="86"/>
      <c r="GP15" s="86"/>
      <c r="GQ15" s="86"/>
      <c r="GR15" s="86"/>
      <c r="GS15" s="86"/>
      <c r="GT15" s="86"/>
      <c r="GU15" s="86"/>
      <c r="GV15" s="86"/>
      <c r="GW15" s="86"/>
      <c r="GX15" s="86"/>
      <c r="GY15" s="86"/>
      <c r="GZ15" s="86"/>
      <c r="HA15" s="86"/>
      <c r="HB15" s="86"/>
      <c r="HC15" s="86"/>
      <c r="HD15" s="86"/>
      <c r="HE15" s="86"/>
      <c r="HF15" s="86"/>
      <c r="HG15" s="86"/>
      <c r="HH15" s="86"/>
      <c r="HI15" s="86"/>
      <c r="HJ15" s="86"/>
      <c r="HK15" s="86"/>
      <c r="HL15" s="86"/>
      <c r="HM15" s="86"/>
      <c r="HN15" s="86"/>
      <c r="HO15" s="86"/>
      <c r="HP15" s="86"/>
      <c r="HQ15" s="86"/>
      <c r="HR15" s="86"/>
      <c r="HS15" s="86"/>
      <c r="HT15" s="86"/>
      <c r="HU15" s="86"/>
      <c r="HV15" s="86"/>
      <c r="HW15" s="86"/>
      <c r="HX15" s="86"/>
      <c r="HY15" s="86"/>
      <c r="HZ15" s="86"/>
      <c r="IA15" s="86"/>
      <c r="IB15" s="86"/>
      <c r="IC15" s="86"/>
      <c r="ID15" s="86"/>
      <c r="IE15" s="86"/>
      <c r="IF15" s="86"/>
      <c r="IG15" s="86"/>
      <c r="IH15" s="86"/>
      <c r="II15" s="86"/>
      <c r="IJ15" s="86"/>
      <c r="IK15" s="86"/>
      <c r="IL15" s="86"/>
      <c r="IM15" s="86"/>
      <c r="IN15" s="86"/>
      <c r="IO15" s="86"/>
      <c r="IP15" s="86"/>
      <c r="IQ15" s="86"/>
      <c r="IR15" s="86"/>
      <c r="IS15" s="86"/>
      <c r="IT15" s="86"/>
      <c r="IU15" s="86"/>
      <c r="IV15" s="86"/>
      <c r="IW15" s="86"/>
    </row>
    <row r="16" spans="1:257" s="91" customFormat="1" ht="16.2" customHeight="1">
      <c r="A16" s="86"/>
      <c r="B16" s="92">
        <f>$B$1*$B$2+$B$3*981</f>
        <v>43719</v>
      </c>
      <c r="C16" s="92">
        <f>$B$1*$B$2+$B$3*860</f>
        <v>43598</v>
      </c>
      <c r="D16" s="94">
        <f>$B$1*$B$2+$B$3*747</f>
        <v>43485</v>
      </c>
      <c r="E16" s="94">
        <f>$B$1*$B$2+$B$3*642</f>
        <v>43380</v>
      </c>
      <c r="F16" s="94">
        <f>$B$1*$B$2+$B$3*545</f>
        <v>43283</v>
      </c>
      <c r="G16" s="94">
        <f>$B$1*$B$2+$B$3*456</f>
        <v>43194</v>
      </c>
      <c r="H16" s="100">
        <f>$B$1*$B$2+$B$3*375</f>
        <v>43113</v>
      </c>
      <c r="I16" s="94">
        <f>$B$1*$B$2+$B$3*302</f>
        <v>43040</v>
      </c>
      <c r="J16" s="94">
        <f>$B$1*$B$2+$B$3*237</f>
        <v>42975</v>
      </c>
      <c r="K16" s="94">
        <f>$B$1*$B$2+$B$3*180</f>
        <v>42918</v>
      </c>
      <c r="L16" s="94">
        <f>$B$1*$B$2+$B$3*131</f>
        <v>42869</v>
      </c>
      <c r="M16" s="87">
        <f>$B$1*$B$2+$B$3*90</f>
        <v>42828</v>
      </c>
      <c r="N16" s="95">
        <f>$B$1*$B$2+$B$3*91</f>
        <v>42829</v>
      </c>
      <c r="O16" s="95">
        <f>$B$1*$B$2+$B$3*92</f>
        <v>42830</v>
      </c>
      <c r="P16" s="95">
        <f>$B$1*$B$2+$B$3*93</f>
        <v>42831</v>
      </c>
      <c r="Q16" s="95">
        <f>$B$1*$B$2+$B$3*94</f>
        <v>42832</v>
      </c>
      <c r="R16" s="96">
        <f>$B$1*$B$2+$B$3*95</f>
        <v>42833</v>
      </c>
      <c r="S16" s="95">
        <f>$B$1*$B$2+$B$3*96</f>
        <v>42834</v>
      </c>
      <c r="T16" s="95">
        <f>$B$1*$B$2+$B$3*97</f>
        <v>42835</v>
      </c>
      <c r="U16" s="95">
        <f>$B$1*$B$2+$B$3*98</f>
        <v>42836</v>
      </c>
      <c r="V16" s="95">
        <f>$B$1*$B$2+$B$3*99</f>
        <v>42837</v>
      </c>
      <c r="W16" s="90">
        <f>$B$1*$B$2+$B$3*100</f>
        <v>42838</v>
      </c>
      <c r="X16" s="93">
        <f>$B$1*$B$2+$B$3*145</f>
        <v>42883</v>
      </c>
      <c r="Y16" s="93">
        <f>$B$1*$B$2+$B$3*198</f>
        <v>42936</v>
      </c>
      <c r="Z16" s="93">
        <f>$B$1*$B$2+$B$3*259</f>
        <v>42997</v>
      </c>
      <c r="AA16" s="93">
        <f>$B$1*$B$2+$B$3*328</f>
        <v>43066</v>
      </c>
      <c r="AB16" s="101">
        <f>$B$1*$B$2+$B$3*405</f>
        <v>43143</v>
      </c>
      <c r="AC16" s="93">
        <f>$B$1*$B$2+$B$3*490</f>
        <v>43228</v>
      </c>
      <c r="AD16" s="93">
        <f>$B$1*$B$2+$B$3*583</f>
        <v>43321</v>
      </c>
      <c r="AE16" s="93">
        <f>$B$1*$B$2+$B$3*684</f>
        <v>43422</v>
      </c>
      <c r="AF16" s="93">
        <f>$B$1*$B$2+$B$3*793</f>
        <v>43531</v>
      </c>
      <c r="AG16" s="93">
        <f>$B$1*$B$2+$B$3*910</f>
        <v>43648</v>
      </c>
      <c r="AH16" s="92">
        <f>$B$1*$B$2+$B$3*1035</f>
        <v>43773</v>
      </c>
      <c r="AI16" s="86"/>
      <c r="AJ16" s="86"/>
      <c r="AK16" s="86"/>
      <c r="AL16" s="86"/>
      <c r="AM16" s="86"/>
      <c r="AN16" s="86"/>
      <c r="AO16" s="86"/>
      <c r="AP16" s="86"/>
      <c r="AQ16" s="86"/>
      <c r="AR16" s="86"/>
      <c r="AS16" s="86"/>
      <c r="AT16" s="86"/>
      <c r="AU16" s="86"/>
      <c r="AV16" s="86"/>
      <c r="AW16" s="86"/>
      <c r="AX16" s="86"/>
      <c r="AY16" s="86"/>
      <c r="AZ16" s="86"/>
      <c r="BA16" s="86"/>
      <c r="BB16" s="86"/>
      <c r="BC16" s="86"/>
      <c r="BD16" s="86"/>
      <c r="BE16" s="86"/>
      <c r="BF16" s="86"/>
      <c r="BG16" s="86"/>
      <c r="BH16" s="86"/>
      <c r="BI16" s="86"/>
      <c r="BJ16" s="86"/>
      <c r="BK16" s="86"/>
      <c r="BL16" s="86"/>
      <c r="BM16" s="86"/>
      <c r="BN16" s="86"/>
      <c r="BO16" s="86"/>
      <c r="BP16" s="86"/>
      <c r="BQ16" s="86"/>
      <c r="BR16" s="86"/>
      <c r="BS16" s="86"/>
      <c r="BT16" s="86"/>
      <c r="BU16" s="86"/>
      <c r="BV16" s="86"/>
      <c r="BW16" s="86"/>
      <c r="BX16" s="86"/>
      <c r="BY16" s="86"/>
      <c r="BZ16" s="86"/>
      <c r="CA16" s="86"/>
      <c r="CB16" s="86"/>
      <c r="CC16" s="86"/>
      <c r="CD16" s="86"/>
      <c r="CE16" s="86"/>
      <c r="CF16" s="86"/>
      <c r="CG16" s="86"/>
      <c r="CH16" s="86"/>
      <c r="CI16" s="86"/>
      <c r="CJ16" s="86"/>
      <c r="CK16" s="86"/>
      <c r="CL16" s="86"/>
      <c r="CM16" s="86"/>
      <c r="CN16" s="86"/>
      <c r="CO16" s="86"/>
      <c r="CP16" s="86"/>
      <c r="CQ16" s="86"/>
      <c r="CR16" s="86"/>
      <c r="CS16" s="86"/>
      <c r="CT16" s="86"/>
      <c r="CU16" s="86"/>
      <c r="CV16" s="86"/>
      <c r="CW16" s="86"/>
      <c r="CX16" s="86"/>
      <c r="CY16" s="86"/>
      <c r="CZ16" s="86"/>
      <c r="DA16" s="86"/>
      <c r="DB16" s="86"/>
      <c r="DC16" s="86"/>
      <c r="DD16" s="86"/>
      <c r="DE16" s="86"/>
      <c r="DF16" s="86"/>
      <c r="DG16" s="86"/>
      <c r="DH16" s="86"/>
      <c r="DI16" s="86"/>
      <c r="DJ16" s="86"/>
      <c r="DK16" s="86"/>
      <c r="DL16" s="86"/>
      <c r="DM16" s="86"/>
      <c r="DN16" s="86"/>
      <c r="DO16" s="86"/>
      <c r="DP16" s="86"/>
      <c r="DQ16" s="86"/>
      <c r="DR16" s="86"/>
      <c r="DS16" s="86"/>
      <c r="DT16" s="86"/>
      <c r="DU16" s="86"/>
      <c r="DV16" s="86"/>
      <c r="DW16" s="86"/>
      <c r="DX16" s="86"/>
      <c r="DY16" s="86"/>
      <c r="DZ16" s="86"/>
      <c r="EA16" s="86"/>
      <c r="EB16" s="86"/>
      <c r="EC16" s="86"/>
      <c r="ED16" s="86"/>
      <c r="EE16" s="86"/>
      <c r="EF16" s="86"/>
      <c r="EG16" s="86"/>
      <c r="EH16" s="86"/>
      <c r="EI16" s="86"/>
      <c r="EJ16" s="86"/>
      <c r="EK16" s="86"/>
      <c r="EL16" s="86"/>
      <c r="EM16" s="86"/>
      <c r="EN16" s="86"/>
      <c r="EO16" s="86"/>
      <c r="EP16" s="86"/>
      <c r="EQ16" s="86"/>
      <c r="ER16" s="86"/>
      <c r="ES16" s="86"/>
      <c r="ET16" s="86"/>
      <c r="EU16" s="86"/>
      <c r="EV16" s="86"/>
      <c r="EW16" s="86"/>
      <c r="EX16" s="86"/>
      <c r="EY16" s="86"/>
      <c r="EZ16" s="86"/>
      <c r="FA16" s="86"/>
      <c r="FB16" s="86"/>
      <c r="FC16" s="86"/>
      <c r="FD16" s="86"/>
      <c r="FE16" s="86"/>
      <c r="FF16" s="86"/>
      <c r="FG16" s="86"/>
      <c r="FH16" s="86"/>
      <c r="FI16" s="86"/>
      <c r="FJ16" s="86"/>
      <c r="FK16" s="86"/>
      <c r="FL16" s="86"/>
      <c r="FM16" s="86"/>
      <c r="FN16" s="86"/>
      <c r="FO16" s="86"/>
      <c r="FP16" s="86"/>
      <c r="FQ16" s="86"/>
      <c r="FR16" s="86"/>
      <c r="FS16" s="86"/>
      <c r="FT16" s="86"/>
      <c r="FU16" s="86"/>
      <c r="FV16" s="86"/>
      <c r="FW16" s="86"/>
      <c r="FX16" s="86"/>
      <c r="FY16" s="86"/>
      <c r="FZ16" s="86"/>
      <c r="GA16" s="86"/>
      <c r="GB16" s="86"/>
      <c r="GC16" s="86"/>
      <c r="GD16" s="86"/>
      <c r="GE16" s="86"/>
      <c r="GF16" s="86"/>
      <c r="GG16" s="86"/>
      <c r="GH16" s="86"/>
      <c r="GI16" s="86"/>
      <c r="GJ16" s="86"/>
      <c r="GK16" s="86"/>
      <c r="GL16" s="86"/>
      <c r="GM16" s="86"/>
      <c r="GN16" s="86"/>
      <c r="GO16" s="86"/>
      <c r="GP16" s="86"/>
      <c r="GQ16" s="86"/>
      <c r="GR16" s="86"/>
      <c r="GS16" s="86"/>
      <c r="GT16" s="86"/>
      <c r="GU16" s="86"/>
      <c r="GV16" s="86"/>
      <c r="GW16" s="86"/>
      <c r="GX16" s="86"/>
      <c r="GY16" s="86"/>
      <c r="GZ16" s="86"/>
      <c r="HA16" s="86"/>
      <c r="HB16" s="86"/>
      <c r="HC16" s="86"/>
      <c r="HD16" s="86"/>
      <c r="HE16" s="86"/>
      <c r="HF16" s="86"/>
      <c r="HG16" s="86"/>
      <c r="HH16" s="86"/>
      <c r="HI16" s="86"/>
      <c r="HJ16" s="86"/>
      <c r="HK16" s="86"/>
      <c r="HL16" s="86"/>
      <c r="HM16" s="86"/>
      <c r="HN16" s="86"/>
      <c r="HO16" s="86"/>
      <c r="HP16" s="86"/>
      <c r="HQ16" s="86"/>
      <c r="HR16" s="86"/>
      <c r="HS16" s="86"/>
      <c r="HT16" s="86"/>
      <c r="HU16" s="86"/>
      <c r="HV16" s="86"/>
      <c r="HW16" s="86"/>
      <c r="HX16" s="86"/>
      <c r="HY16" s="86"/>
      <c r="HZ16" s="86"/>
      <c r="IA16" s="86"/>
      <c r="IB16" s="86"/>
      <c r="IC16" s="86"/>
      <c r="ID16" s="86"/>
      <c r="IE16" s="86"/>
      <c r="IF16" s="86"/>
      <c r="IG16" s="86"/>
      <c r="IH16" s="86"/>
      <c r="II16" s="86"/>
      <c r="IJ16" s="86"/>
      <c r="IK16" s="86"/>
      <c r="IL16" s="86"/>
      <c r="IM16" s="86"/>
      <c r="IN16" s="86"/>
      <c r="IO16" s="86"/>
      <c r="IP16" s="86"/>
      <c r="IQ16" s="86"/>
      <c r="IR16" s="86"/>
      <c r="IS16" s="86"/>
      <c r="IT16" s="86"/>
      <c r="IU16" s="86"/>
      <c r="IV16" s="86"/>
      <c r="IW16" s="86"/>
    </row>
    <row r="17" spans="1:257" s="91" customFormat="1" ht="16.2" customHeight="1">
      <c r="A17" s="86"/>
      <c r="B17" s="92">
        <f>$B$1*$B$2+$B$3*980</f>
        <v>43718</v>
      </c>
      <c r="C17" s="92">
        <f>$B$1*$B$2+$B$3*859</f>
        <v>43597</v>
      </c>
      <c r="D17" s="94">
        <f>$B$1*$B$2+$B$3*746</f>
        <v>43484</v>
      </c>
      <c r="E17" s="94">
        <f>$B$1*$B$2+$B$3*641</f>
        <v>43379</v>
      </c>
      <c r="F17" s="94">
        <f>$B$1*$B$2+$B$3*544</f>
        <v>43282</v>
      </c>
      <c r="G17" s="94">
        <f>$B$1*$B$2+$B$3*455</f>
        <v>43193</v>
      </c>
      <c r="H17" s="94">
        <f>$B$1*$B$2+$B$3*374</f>
        <v>43112</v>
      </c>
      <c r="I17" s="94">
        <f>$B$1*$B$2+$B$3*301</f>
        <v>43039</v>
      </c>
      <c r="J17" s="100">
        <f>$B$1*$B$2+$B$3*236</f>
        <v>42974</v>
      </c>
      <c r="K17" s="94">
        <f>$B$1*$B$2+$B$3*179</f>
        <v>42917</v>
      </c>
      <c r="L17" s="94">
        <f>$B$1*$B$2+$B$3*130</f>
        <v>42868</v>
      </c>
      <c r="M17" s="94">
        <f>$B$1*$B$2+$B$3*89</f>
        <v>42827</v>
      </c>
      <c r="N17" s="87">
        <f>$B$1*$B$2+$B$3*56</f>
        <v>42794</v>
      </c>
      <c r="O17" s="95">
        <f>$B$1*$B$2+$B$3*57</f>
        <v>42795</v>
      </c>
      <c r="P17" s="96">
        <f>$B$1*$B$2+$B$3*58</f>
        <v>42796</v>
      </c>
      <c r="Q17" s="95">
        <f>$B$1*$B$2+$B$3*59</f>
        <v>42797</v>
      </c>
      <c r="R17" s="96">
        <f>$B$1*$B$2+$B$3*60</f>
        <v>42798</v>
      </c>
      <c r="S17" s="95">
        <f>$B$1*$B$2+$B$3*61</f>
        <v>42799</v>
      </c>
      <c r="T17" s="96">
        <f>$B$1*$B$2+$B$3*62</f>
        <v>42800</v>
      </c>
      <c r="U17" s="95">
        <f>$B$1*$B$2+$B$3*63</f>
        <v>42801</v>
      </c>
      <c r="V17" s="90">
        <f>$B$1*$B$2+$B$3*64</f>
        <v>42802</v>
      </c>
      <c r="W17" s="93">
        <f>$B$1*$B$2+$B$3*101</f>
        <v>42839</v>
      </c>
      <c r="X17" s="93">
        <f>$B$1*$B$2+$B$3*146</f>
        <v>42884</v>
      </c>
      <c r="Y17" s="93">
        <f>$B$1*$B$2+$B$3*199</f>
        <v>42937</v>
      </c>
      <c r="Z17" s="101">
        <f>$B$1*$B$2+$B$3*260</f>
        <v>42998</v>
      </c>
      <c r="AA17" s="93">
        <f>$B$1*$B$2+$B$3*329</f>
        <v>43067</v>
      </c>
      <c r="AB17" s="93">
        <f>$B$1*$B$2+$B$3*406</f>
        <v>43144</v>
      </c>
      <c r="AC17" s="93">
        <f>$B$1*$B$2+$B$3*491</f>
        <v>43229</v>
      </c>
      <c r="AD17" s="93">
        <f>$B$1*$B$2+$B$3*584</f>
        <v>43322</v>
      </c>
      <c r="AE17" s="93">
        <f>$B$1*$B$2+$B$3*685</f>
        <v>43423</v>
      </c>
      <c r="AF17" s="93">
        <f>$B$1*$B$2+$B$3*794</f>
        <v>43532</v>
      </c>
      <c r="AG17" s="93">
        <f>$B$1*$B$2+$B$3*911</f>
        <v>43649</v>
      </c>
      <c r="AH17" s="92">
        <f>$B$1*$B$2+$B$3*1036</f>
        <v>43774</v>
      </c>
      <c r="AI17" s="86"/>
      <c r="AJ17" s="86"/>
      <c r="AK17" s="86"/>
      <c r="AL17" s="86"/>
      <c r="AM17" s="86"/>
      <c r="AN17" s="86"/>
      <c r="AO17" s="86"/>
      <c r="AP17" s="86"/>
      <c r="AQ17" s="86"/>
      <c r="AR17" s="86"/>
      <c r="AS17" s="86"/>
      <c r="AT17" s="86"/>
      <c r="AU17" s="86"/>
      <c r="AV17" s="86"/>
      <c r="AW17" s="86"/>
      <c r="AX17" s="86"/>
      <c r="AY17" s="86"/>
      <c r="AZ17" s="86"/>
      <c r="BA17" s="86"/>
      <c r="BB17" s="86"/>
      <c r="BC17" s="86"/>
      <c r="BD17" s="86"/>
      <c r="BE17" s="86"/>
      <c r="BF17" s="86"/>
      <c r="BG17" s="86"/>
      <c r="BH17" s="86"/>
      <c r="BI17" s="86"/>
      <c r="BJ17" s="86"/>
      <c r="BK17" s="86"/>
      <c r="BL17" s="86"/>
      <c r="BM17" s="86"/>
      <c r="BN17" s="86"/>
      <c r="BO17" s="86"/>
      <c r="BP17" s="86"/>
      <c r="BQ17" s="86"/>
      <c r="BR17" s="86"/>
      <c r="BS17" s="86"/>
      <c r="BT17" s="86"/>
      <c r="BU17" s="86"/>
      <c r="BV17" s="86"/>
      <c r="BW17" s="86"/>
      <c r="BX17" s="86"/>
      <c r="BY17" s="86"/>
      <c r="BZ17" s="86"/>
      <c r="CA17" s="86"/>
      <c r="CB17" s="86"/>
      <c r="CC17" s="86"/>
      <c r="CD17" s="86"/>
      <c r="CE17" s="86"/>
      <c r="CF17" s="86"/>
      <c r="CG17" s="86"/>
      <c r="CH17" s="86"/>
      <c r="CI17" s="86"/>
      <c r="CJ17" s="86"/>
      <c r="CK17" s="86"/>
      <c r="CL17" s="86"/>
      <c r="CM17" s="86"/>
      <c r="CN17" s="86"/>
      <c r="CO17" s="86"/>
      <c r="CP17" s="86"/>
      <c r="CQ17" s="86"/>
      <c r="CR17" s="86"/>
      <c r="CS17" s="86"/>
      <c r="CT17" s="86"/>
      <c r="CU17" s="86"/>
      <c r="CV17" s="86"/>
      <c r="CW17" s="86"/>
      <c r="CX17" s="86"/>
      <c r="CY17" s="86"/>
      <c r="CZ17" s="86"/>
      <c r="DA17" s="86"/>
      <c r="DB17" s="86"/>
      <c r="DC17" s="86"/>
      <c r="DD17" s="86"/>
      <c r="DE17" s="86"/>
      <c r="DF17" s="86"/>
      <c r="DG17" s="86"/>
      <c r="DH17" s="86"/>
      <c r="DI17" s="86"/>
      <c r="DJ17" s="86"/>
      <c r="DK17" s="86"/>
      <c r="DL17" s="86"/>
      <c r="DM17" s="86"/>
      <c r="DN17" s="86"/>
      <c r="DO17" s="86"/>
      <c r="DP17" s="86"/>
      <c r="DQ17" s="86"/>
      <c r="DR17" s="86"/>
      <c r="DS17" s="86"/>
      <c r="DT17" s="86"/>
      <c r="DU17" s="86"/>
      <c r="DV17" s="86"/>
      <c r="DW17" s="86"/>
      <c r="DX17" s="86"/>
      <c r="DY17" s="86"/>
      <c r="DZ17" s="86"/>
      <c r="EA17" s="86"/>
      <c r="EB17" s="86"/>
      <c r="EC17" s="86"/>
      <c r="ED17" s="86"/>
      <c r="EE17" s="86"/>
      <c r="EF17" s="86"/>
      <c r="EG17" s="86"/>
      <c r="EH17" s="86"/>
      <c r="EI17" s="86"/>
      <c r="EJ17" s="86"/>
      <c r="EK17" s="86"/>
      <c r="EL17" s="86"/>
      <c r="EM17" s="86"/>
      <c r="EN17" s="86"/>
      <c r="EO17" s="86"/>
      <c r="EP17" s="86"/>
      <c r="EQ17" s="86"/>
      <c r="ER17" s="86"/>
      <c r="ES17" s="86"/>
      <c r="ET17" s="86"/>
      <c r="EU17" s="86"/>
      <c r="EV17" s="86"/>
      <c r="EW17" s="86"/>
      <c r="EX17" s="86"/>
      <c r="EY17" s="86"/>
      <c r="EZ17" s="86"/>
      <c r="FA17" s="86"/>
      <c r="FB17" s="86"/>
      <c r="FC17" s="86"/>
      <c r="FD17" s="86"/>
      <c r="FE17" s="86"/>
      <c r="FF17" s="86"/>
      <c r="FG17" s="86"/>
      <c r="FH17" s="86"/>
      <c r="FI17" s="86"/>
      <c r="FJ17" s="86"/>
      <c r="FK17" s="86"/>
      <c r="FL17" s="86"/>
      <c r="FM17" s="86"/>
      <c r="FN17" s="86"/>
      <c r="FO17" s="86"/>
      <c r="FP17" s="86"/>
      <c r="FQ17" s="86"/>
      <c r="FR17" s="86"/>
      <c r="FS17" s="86"/>
      <c r="FT17" s="86"/>
      <c r="FU17" s="86"/>
      <c r="FV17" s="86"/>
      <c r="FW17" s="86"/>
      <c r="FX17" s="86"/>
      <c r="FY17" s="86"/>
      <c r="FZ17" s="86"/>
      <c r="GA17" s="86"/>
      <c r="GB17" s="86"/>
      <c r="GC17" s="86"/>
      <c r="GD17" s="86"/>
      <c r="GE17" s="86"/>
      <c r="GF17" s="86"/>
      <c r="GG17" s="86"/>
      <c r="GH17" s="86"/>
      <c r="GI17" s="86"/>
      <c r="GJ17" s="86"/>
      <c r="GK17" s="86"/>
      <c r="GL17" s="86"/>
      <c r="GM17" s="86"/>
      <c r="GN17" s="86"/>
      <c r="GO17" s="86"/>
      <c r="GP17" s="86"/>
      <c r="GQ17" s="86"/>
      <c r="GR17" s="86"/>
      <c r="GS17" s="86"/>
      <c r="GT17" s="86"/>
      <c r="GU17" s="86"/>
      <c r="GV17" s="86"/>
      <c r="GW17" s="86"/>
      <c r="GX17" s="86"/>
      <c r="GY17" s="86"/>
      <c r="GZ17" s="86"/>
      <c r="HA17" s="86"/>
      <c r="HB17" s="86"/>
      <c r="HC17" s="86"/>
      <c r="HD17" s="86"/>
      <c r="HE17" s="86"/>
      <c r="HF17" s="86"/>
      <c r="HG17" s="86"/>
      <c r="HH17" s="86"/>
      <c r="HI17" s="86"/>
      <c r="HJ17" s="86"/>
      <c r="HK17" s="86"/>
      <c r="HL17" s="86"/>
      <c r="HM17" s="86"/>
      <c r="HN17" s="86"/>
      <c r="HO17" s="86"/>
      <c r="HP17" s="86"/>
      <c r="HQ17" s="86"/>
      <c r="HR17" s="86"/>
      <c r="HS17" s="86"/>
      <c r="HT17" s="86"/>
      <c r="HU17" s="86"/>
      <c r="HV17" s="86"/>
      <c r="HW17" s="86"/>
      <c r="HX17" s="86"/>
      <c r="HY17" s="86"/>
      <c r="HZ17" s="86"/>
      <c r="IA17" s="86"/>
      <c r="IB17" s="86"/>
      <c r="IC17" s="86"/>
      <c r="ID17" s="86"/>
      <c r="IE17" s="86"/>
      <c r="IF17" s="86"/>
      <c r="IG17" s="86"/>
      <c r="IH17" s="86"/>
      <c r="II17" s="86"/>
      <c r="IJ17" s="86"/>
      <c r="IK17" s="86"/>
      <c r="IL17" s="86"/>
      <c r="IM17" s="86"/>
      <c r="IN17" s="86"/>
      <c r="IO17" s="86"/>
      <c r="IP17" s="86"/>
      <c r="IQ17" s="86"/>
      <c r="IR17" s="86"/>
      <c r="IS17" s="86"/>
      <c r="IT17" s="86"/>
      <c r="IU17" s="86"/>
      <c r="IV17" s="86"/>
      <c r="IW17" s="86"/>
    </row>
    <row r="18" spans="1:257" s="91" customFormat="1" ht="16.2" customHeight="1">
      <c r="A18" s="86"/>
      <c r="B18" s="92">
        <f>$B$1*$B$2+$B$3*979</f>
        <v>43717</v>
      </c>
      <c r="C18" s="92">
        <f>$B$1*$B$2+$B$3*858</f>
        <v>43596</v>
      </c>
      <c r="D18" s="94">
        <f>$B$1*$B$2+$B$3*745</f>
        <v>43483</v>
      </c>
      <c r="E18" s="94">
        <f>$B$1*$B$2+$B$3*640</f>
        <v>43378</v>
      </c>
      <c r="F18" s="94">
        <f>$B$1*$B$2+$B$3*543</f>
        <v>43281</v>
      </c>
      <c r="G18" s="94">
        <f>$B$1*$B$2+$B$3*454</f>
        <v>43192</v>
      </c>
      <c r="H18" s="94">
        <f>$B$1*$B$2+$B$3*373</f>
        <v>43111</v>
      </c>
      <c r="I18" s="94">
        <f>$B$1*$B$2+$B$3*300</f>
        <v>43038</v>
      </c>
      <c r="J18" s="94">
        <f>$B$1*$B$2+$B$3*235</f>
        <v>42973</v>
      </c>
      <c r="K18" s="94">
        <f>$B$1*$B$2+$B$3*178</f>
        <v>42916</v>
      </c>
      <c r="L18" s="100">
        <f>$B$1*$B$2+$B$3*129</f>
        <v>42867</v>
      </c>
      <c r="M18" s="94">
        <f>$B$1*$B$2+$B$3*88</f>
        <v>42826</v>
      </c>
      <c r="N18" s="94">
        <f>$B$1*$B$2+$B$3*55</f>
        <v>42793</v>
      </c>
      <c r="O18" s="87">
        <f>$B$1*$B$2+$B$3*30</f>
        <v>42768</v>
      </c>
      <c r="P18" s="95">
        <f>$B$1*$B$2+$B$3*31</f>
        <v>42769</v>
      </c>
      <c r="Q18" s="95">
        <f>$B$1*$B$2+$B$3*32</f>
        <v>42770</v>
      </c>
      <c r="R18" s="96">
        <f>$B$1*$B$2+$B$3*33</f>
        <v>42771</v>
      </c>
      <c r="S18" s="95">
        <f>$B$1*$B$2+$B$3*34</f>
        <v>42772</v>
      </c>
      <c r="T18" s="95">
        <f>$B$1*$B$2+$B$3*35</f>
        <v>42773</v>
      </c>
      <c r="U18" s="90">
        <f>$B$1*$B$2+$B$3*36</f>
        <v>42774</v>
      </c>
      <c r="V18" s="93">
        <f>$B$1*$B$2+$B$3*65</f>
        <v>42803</v>
      </c>
      <c r="W18" s="93">
        <f>$B$1*$B$2+$B$3*102</f>
        <v>42840</v>
      </c>
      <c r="X18" s="101">
        <f>$B$1*$B$2+$B$3*147</f>
        <v>42885</v>
      </c>
      <c r="Y18" s="93">
        <f>$B$1*$B$2+$B$3*200</f>
        <v>42938</v>
      </c>
      <c r="Z18" s="93">
        <f>$B$1*$B$2+$B$3*261</f>
        <v>42999</v>
      </c>
      <c r="AA18" s="93">
        <f>$B$1*$B$2+$B$3*330</f>
        <v>43068</v>
      </c>
      <c r="AB18" s="93">
        <f>$B$1*$B$2+$B$3*407</f>
        <v>43145</v>
      </c>
      <c r="AC18" s="93">
        <f>$B$1*$B$2+$B$3*492</f>
        <v>43230</v>
      </c>
      <c r="AD18" s="93">
        <f>$B$1*$B$2+$B$3*585</f>
        <v>43323</v>
      </c>
      <c r="AE18" s="93">
        <f>$B$1*$B$2+$B$3*686</f>
        <v>43424</v>
      </c>
      <c r="AF18" s="93">
        <f>$B$1*$B$2+$B$3*795</f>
        <v>43533</v>
      </c>
      <c r="AG18" s="93">
        <f>$B$1*$B$2+$B$3*912</f>
        <v>43650</v>
      </c>
      <c r="AH18" s="92">
        <f>$B$1*$B$2+$B$3*1037</f>
        <v>43775</v>
      </c>
      <c r="AI18" s="86"/>
      <c r="AJ18" s="86"/>
      <c r="AK18" s="86"/>
      <c r="AL18" s="86"/>
      <c r="AM18" s="86"/>
      <c r="AN18" s="86"/>
      <c r="AO18" s="86"/>
      <c r="AP18" s="86"/>
      <c r="AQ18" s="86"/>
      <c r="AR18" s="86"/>
      <c r="AS18" s="86"/>
      <c r="AT18" s="86"/>
      <c r="AU18" s="86"/>
      <c r="AV18" s="86"/>
      <c r="AW18" s="86"/>
      <c r="AX18" s="86"/>
      <c r="AY18" s="86"/>
      <c r="AZ18" s="86"/>
      <c r="BA18" s="86"/>
      <c r="BB18" s="86"/>
      <c r="BC18" s="86"/>
      <c r="BD18" s="86"/>
      <c r="BE18" s="86"/>
      <c r="BF18" s="86"/>
      <c r="BG18" s="86"/>
      <c r="BH18" s="86"/>
      <c r="BI18" s="86"/>
      <c r="BJ18" s="86"/>
      <c r="BK18" s="86"/>
      <c r="BL18" s="86"/>
      <c r="BM18" s="86"/>
      <c r="BN18" s="86"/>
      <c r="BO18" s="86"/>
      <c r="BP18" s="86"/>
      <c r="BQ18" s="86"/>
      <c r="BR18" s="86"/>
      <c r="BS18" s="86"/>
      <c r="BT18" s="86"/>
      <c r="BU18" s="86"/>
      <c r="BV18" s="86"/>
      <c r="BW18" s="86"/>
      <c r="BX18" s="86"/>
      <c r="BY18" s="86"/>
      <c r="BZ18" s="86"/>
      <c r="CA18" s="86"/>
      <c r="CB18" s="86"/>
      <c r="CC18" s="86"/>
      <c r="CD18" s="86"/>
      <c r="CE18" s="86"/>
      <c r="CF18" s="86"/>
      <c r="CG18" s="86"/>
      <c r="CH18" s="86"/>
      <c r="CI18" s="86"/>
      <c r="CJ18" s="86"/>
      <c r="CK18" s="86"/>
      <c r="CL18" s="86"/>
      <c r="CM18" s="86"/>
      <c r="CN18" s="86"/>
      <c r="CO18" s="86"/>
      <c r="CP18" s="86"/>
      <c r="CQ18" s="86"/>
      <c r="CR18" s="86"/>
      <c r="CS18" s="86"/>
      <c r="CT18" s="86"/>
      <c r="CU18" s="86"/>
      <c r="CV18" s="86"/>
      <c r="CW18" s="86"/>
      <c r="CX18" s="86"/>
      <c r="CY18" s="86"/>
      <c r="CZ18" s="86"/>
      <c r="DA18" s="86"/>
      <c r="DB18" s="86"/>
      <c r="DC18" s="86"/>
      <c r="DD18" s="86"/>
      <c r="DE18" s="86"/>
      <c r="DF18" s="86"/>
      <c r="DG18" s="86"/>
      <c r="DH18" s="86"/>
      <c r="DI18" s="86"/>
      <c r="DJ18" s="86"/>
      <c r="DK18" s="86"/>
      <c r="DL18" s="86"/>
      <c r="DM18" s="86"/>
      <c r="DN18" s="86"/>
      <c r="DO18" s="86"/>
      <c r="DP18" s="86"/>
      <c r="DQ18" s="86"/>
      <c r="DR18" s="86"/>
      <c r="DS18" s="86"/>
      <c r="DT18" s="86"/>
      <c r="DU18" s="86"/>
      <c r="DV18" s="86"/>
      <c r="DW18" s="86"/>
      <c r="DX18" s="86"/>
      <c r="DY18" s="86"/>
      <c r="DZ18" s="86"/>
      <c r="EA18" s="86"/>
      <c r="EB18" s="86"/>
      <c r="EC18" s="86"/>
      <c r="ED18" s="86"/>
      <c r="EE18" s="86"/>
      <c r="EF18" s="86"/>
      <c r="EG18" s="86"/>
      <c r="EH18" s="86"/>
      <c r="EI18" s="86"/>
      <c r="EJ18" s="86"/>
      <c r="EK18" s="86"/>
      <c r="EL18" s="86"/>
      <c r="EM18" s="86"/>
      <c r="EN18" s="86"/>
      <c r="EO18" s="86"/>
      <c r="EP18" s="86"/>
      <c r="EQ18" s="86"/>
      <c r="ER18" s="86"/>
      <c r="ES18" s="86"/>
      <c r="ET18" s="86"/>
      <c r="EU18" s="86"/>
      <c r="EV18" s="86"/>
      <c r="EW18" s="86"/>
      <c r="EX18" s="86"/>
      <c r="EY18" s="86"/>
      <c r="EZ18" s="86"/>
      <c r="FA18" s="86"/>
      <c r="FB18" s="86"/>
      <c r="FC18" s="86"/>
      <c r="FD18" s="86"/>
      <c r="FE18" s="86"/>
      <c r="FF18" s="86"/>
      <c r="FG18" s="86"/>
      <c r="FH18" s="86"/>
      <c r="FI18" s="86"/>
      <c r="FJ18" s="86"/>
      <c r="FK18" s="86"/>
      <c r="FL18" s="86"/>
      <c r="FM18" s="86"/>
      <c r="FN18" s="86"/>
      <c r="FO18" s="86"/>
      <c r="FP18" s="86"/>
      <c r="FQ18" s="86"/>
      <c r="FR18" s="86"/>
      <c r="FS18" s="86"/>
      <c r="FT18" s="86"/>
      <c r="FU18" s="86"/>
      <c r="FV18" s="86"/>
      <c r="FW18" s="86"/>
      <c r="FX18" s="86"/>
      <c r="FY18" s="86"/>
      <c r="FZ18" s="86"/>
      <c r="GA18" s="86"/>
      <c r="GB18" s="86"/>
      <c r="GC18" s="86"/>
      <c r="GD18" s="86"/>
      <c r="GE18" s="86"/>
      <c r="GF18" s="86"/>
      <c r="GG18" s="86"/>
      <c r="GH18" s="86"/>
      <c r="GI18" s="86"/>
      <c r="GJ18" s="86"/>
      <c r="GK18" s="86"/>
      <c r="GL18" s="86"/>
      <c r="GM18" s="86"/>
      <c r="GN18" s="86"/>
      <c r="GO18" s="86"/>
      <c r="GP18" s="86"/>
      <c r="GQ18" s="86"/>
      <c r="GR18" s="86"/>
      <c r="GS18" s="86"/>
      <c r="GT18" s="86"/>
      <c r="GU18" s="86"/>
      <c r="GV18" s="86"/>
      <c r="GW18" s="86"/>
      <c r="GX18" s="86"/>
      <c r="GY18" s="86"/>
      <c r="GZ18" s="86"/>
      <c r="HA18" s="86"/>
      <c r="HB18" s="86"/>
      <c r="HC18" s="86"/>
      <c r="HD18" s="86"/>
      <c r="HE18" s="86"/>
      <c r="HF18" s="86"/>
      <c r="HG18" s="86"/>
      <c r="HH18" s="86"/>
      <c r="HI18" s="86"/>
      <c r="HJ18" s="86"/>
      <c r="HK18" s="86"/>
      <c r="HL18" s="86"/>
      <c r="HM18" s="86"/>
      <c r="HN18" s="86"/>
      <c r="HO18" s="86"/>
      <c r="HP18" s="86"/>
      <c r="HQ18" s="86"/>
      <c r="HR18" s="86"/>
      <c r="HS18" s="86"/>
      <c r="HT18" s="86"/>
      <c r="HU18" s="86"/>
      <c r="HV18" s="86"/>
      <c r="HW18" s="86"/>
      <c r="HX18" s="86"/>
      <c r="HY18" s="86"/>
      <c r="HZ18" s="86"/>
      <c r="IA18" s="86"/>
      <c r="IB18" s="86"/>
      <c r="IC18" s="86"/>
      <c r="ID18" s="86"/>
      <c r="IE18" s="86"/>
      <c r="IF18" s="86"/>
      <c r="IG18" s="86"/>
      <c r="IH18" s="86"/>
      <c r="II18" s="86"/>
      <c r="IJ18" s="86"/>
      <c r="IK18" s="86"/>
      <c r="IL18" s="86"/>
      <c r="IM18" s="86"/>
      <c r="IN18" s="86"/>
      <c r="IO18" s="86"/>
      <c r="IP18" s="86"/>
      <c r="IQ18" s="86"/>
      <c r="IR18" s="86"/>
      <c r="IS18" s="86"/>
      <c r="IT18" s="86"/>
      <c r="IU18" s="86"/>
      <c r="IV18" s="86"/>
      <c r="IW18" s="86"/>
    </row>
    <row r="19" spans="1:257" s="91" customFormat="1" ht="16.2" customHeight="1">
      <c r="A19" s="86"/>
      <c r="B19" s="92">
        <f>$B$1*$B$2+$B$3*978</f>
        <v>43716</v>
      </c>
      <c r="C19" s="92">
        <f>$B$1*$B$2+$B$3*857</f>
        <v>43595</v>
      </c>
      <c r="D19" s="94">
        <f>$B$1*$B$2+$B$3*744</f>
        <v>43482</v>
      </c>
      <c r="E19" s="94">
        <f>$B$1*$B$2+$B$3*639</f>
        <v>43377</v>
      </c>
      <c r="F19" s="94">
        <f>$B$1*$B$2+$B$3*542</f>
        <v>43280</v>
      </c>
      <c r="G19" s="94">
        <f>$B$1*$B$2+$B$3*453</f>
        <v>43191</v>
      </c>
      <c r="H19" s="94">
        <f>$B$1*$B$2+$B$3*372</f>
        <v>43110</v>
      </c>
      <c r="I19" s="94">
        <f>$B$1*$B$2+$B$3*299</f>
        <v>43037</v>
      </c>
      <c r="J19" s="94">
        <f>$B$1*$B$2+$B$3*234</f>
        <v>42972</v>
      </c>
      <c r="K19" s="94">
        <f>$B$1*$B$2+$B$3*177</f>
        <v>42915</v>
      </c>
      <c r="L19" s="94">
        <f>$B$1*$B$2+$B$3*128</f>
        <v>42866</v>
      </c>
      <c r="M19" s="94">
        <f>$B$1*$B$2+$B$3*87</f>
        <v>42825</v>
      </c>
      <c r="N19" s="100">
        <f>$B$1*$B$2+$B$3*54</f>
        <v>42792</v>
      </c>
      <c r="O19" s="94">
        <f>$B$1*$B$2+$B$3*29</f>
        <v>42767</v>
      </c>
      <c r="P19" s="87">
        <f>$B$1*$B$2+$B$3*12</f>
        <v>42750</v>
      </c>
      <c r="Q19" s="96">
        <f>$B$1*$B$2+$B$3*13</f>
        <v>42751</v>
      </c>
      <c r="R19" s="96">
        <f>$B$1*$B$2+$B$3*14</f>
        <v>42752</v>
      </c>
      <c r="S19" s="96">
        <f>$B$1*$B$2+$B$3*15</f>
        <v>42753</v>
      </c>
      <c r="T19" s="90">
        <f>$B$1*$B$2+$B$3*16</f>
        <v>42754</v>
      </c>
      <c r="U19" s="93">
        <f>$B$1*$B$2+$B$3*37</f>
        <v>42775</v>
      </c>
      <c r="V19" s="101">
        <f>$B$1*$B$2+$B$3*66</f>
        <v>42804</v>
      </c>
      <c r="W19" s="93">
        <f>$B$1*$B$2+$B$3*103</f>
        <v>42841</v>
      </c>
      <c r="X19" s="93">
        <f>$B$1*$B$2+$B$3*148</f>
        <v>42886</v>
      </c>
      <c r="Y19" s="93">
        <f>$B$1*$B$2+$B$3*201</f>
        <v>42939</v>
      </c>
      <c r="Z19" s="93">
        <f>$B$1*$B$2+$B$3*262</f>
        <v>43000</v>
      </c>
      <c r="AA19" s="93">
        <f>$B$1*$B$2+$B$3*331</f>
        <v>43069</v>
      </c>
      <c r="AB19" s="93">
        <f>$B$1*$B$2+$B$3*408</f>
        <v>43146</v>
      </c>
      <c r="AC19" s="93">
        <f>$B$1*$B$2+$B$3*493</f>
        <v>43231</v>
      </c>
      <c r="AD19" s="93">
        <f>$B$1*$B$2+$B$3*586</f>
        <v>43324</v>
      </c>
      <c r="AE19" s="93">
        <f>$B$1*$B$2+$B$3*687</f>
        <v>43425</v>
      </c>
      <c r="AF19" s="93">
        <f>$B$1*$B$2+$B$3*796</f>
        <v>43534</v>
      </c>
      <c r="AG19" s="93">
        <f>$B$1*$B$2+$B$3*913</f>
        <v>43651</v>
      </c>
      <c r="AH19" s="92">
        <f>$B$1*$B$2+$B$3*1038</f>
        <v>43776</v>
      </c>
      <c r="AI19" s="86"/>
      <c r="AJ19" s="86"/>
      <c r="AK19" s="86"/>
      <c r="AL19" s="86"/>
      <c r="AM19" s="86"/>
      <c r="AN19" s="86"/>
      <c r="AO19" s="86"/>
      <c r="AP19" s="86"/>
      <c r="AQ19" s="86"/>
      <c r="AR19" s="86"/>
      <c r="AS19" s="86"/>
      <c r="AT19" s="86"/>
      <c r="AU19" s="86"/>
      <c r="AV19" s="86"/>
      <c r="AW19" s="86"/>
      <c r="AX19" s="86"/>
      <c r="AY19" s="86"/>
      <c r="AZ19" s="86"/>
      <c r="BA19" s="86"/>
      <c r="BB19" s="86"/>
      <c r="BC19" s="86"/>
      <c r="BD19" s="86"/>
      <c r="BE19" s="86"/>
      <c r="BF19" s="86"/>
      <c r="BG19" s="86"/>
      <c r="BH19" s="86"/>
      <c r="BI19" s="86"/>
      <c r="BJ19" s="86"/>
      <c r="BK19" s="86"/>
      <c r="BL19" s="86"/>
      <c r="BM19" s="86"/>
      <c r="BN19" s="86"/>
      <c r="BO19" s="86"/>
      <c r="BP19" s="86"/>
      <c r="BQ19" s="86"/>
      <c r="BR19" s="86"/>
      <c r="BS19" s="86"/>
      <c r="BT19" s="86"/>
      <c r="BU19" s="86"/>
      <c r="BV19" s="86"/>
      <c r="BW19" s="86"/>
      <c r="BX19" s="86"/>
      <c r="BY19" s="86"/>
      <c r="BZ19" s="86"/>
      <c r="CA19" s="86"/>
      <c r="CB19" s="86"/>
      <c r="CC19" s="86"/>
      <c r="CD19" s="86"/>
      <c r="CE19" s="86"/>
      <c r="CF19" s="86"/>
      <c r="CG19" s="86"/>
      <c r="CH19" s="86"/>
      <c r="CI19" s="86"/>
      <c r="CJ19" s="86"/>
      <c r="CK19" s="86"/>
      <c r="CL19" s="86"/>
      <c r="CM19" s="86"/>
      <c r="CN19" s="86"/>
      <c r="CO19" s="86"/>
      <c r="CP19" s="86"/>
      <c r="CQ19" s="86"/>
      <c r="CR19" s="86"/>
      <c r="CS19" s="86"/>
      <c r="CT19" s="86"/>
      <c r="CU19" s="86"/>
      <c r="CV19" s="86"/>
      <c r="CW19" s="86"/>
      <c r="CX19" s="86"/>
      <c r="CY19" s="86"/>
      <c r="CZ19" s="86"/>
      <c r="DA19" s="86"/>
      <c r="DB19" s="86"/>
      <c r="DC19" s="86"/>
      <c r="DD19" s="86"/>
      <c r="DE19" s="86"/>
      <c r="DF19" s="86"/>
      <c r="DG19" s="86"/>
      <c r="DH19" s="86"/>
      <c r="DI19" s="86"/>
      <c r="DJ19" s="86"/>
      <c r="DK19" s="86"/>
      <c r="DL19" s="86"/>
      <c r="DM19" s="86"/>
      <c r="DN19" s="86"/>
      <c r="DO19" s="86"/>
      <c r="DP19" s="86"/>
      <c r="DQ19" s="86"/>
      <c r="DR19" s="86"/>
      <c r="DS19" s="86"/>
      <c r="DT19" s="86"/>
      <c r="DU19" s="86"/>
      <c r="DV19" s="86"/>
      <c r="DW19" s="86"/>
      <c r="DX19" s="86"/>
      <c r="DY19" s="86"/>
      <c r="DZ19" s="86"/>
      <c r="EA19" s="86"/>
      <c r="EB19" s="86"/>
      <c r="EC19" s="86"/>
      <c r="ED19" s="86"/>
      <c r="EE19" s="86"/>
      <c r="EF19" s="86"/>
      <c r="EG19" s="86"/>
      <c r="EH19" s="86"/>
      <c r="EI19" s="86"/>
      <c r="EJ19" s="86"/>
      <c r="EK19" s="86"/>
      <c r="EL19" s="86"/>
      <c r="EM19" s="86"/>
      <c r="EN19" s="86"/>
      <c r="EO19" s="86"/>
      <c r="EP19" s="86"/>
      <c r="EQ19" s="86"/>
      <c r="ER19" s="86"/>
      <c r="ES19" s="86"/>
      <c r="ET19" s="86"/>
      <c r="EU19" s="86"/>
      <c r="EV19" s="86"/>
      <c r="EW19" s="86"/>
      <c r="EX19" s="86"/>
      <c r="EY19" s="86"/>
      <c r="EZ19" s="86"/>
      <c r="FA19" s="86"/>
      <c r="FB19" s="86"/>
      <c r="FC19" s="86"/>
      <c r="FD19" s="86"/>
      <c r="FE19" s="86"/>
      <c r="FF19" s="86"/>
      <c r="FG19" s="86"/>
      <c r="FH19" s="86"/>
      <c r="FI19" s="86"/>
      <c r="FJ19" s="86"/>
      <c r="FK19" s="86"/>
      <c r="FL19" s="86"/>
      <c r="FM19" s="86"/>
      <c r="FN19" s="86"/>
      <c r="FO19" s="86"/>
      <c r="FP19" s="86"/>
      <c r="FQ19" s="86"/>
      <c r="FR19" s="86"/>
      <c r="FS19" s="86"/>
      <c r="FT19" s="86"/>
      <c r="FU19" s="86"/>
      <c r="FV19" s="86"/>
      <c r="FW19" s="86"/>
      <c r="FX19" s="86"/>
      <c r="FY19" s="86"/>
      <c r="FZ19" s="86"/>
      <c r="GA19" s="86"/>
      <c r="GB19" s="86"/>
      <c r="GC19" s="86"/>
      <c r="GD19" s="86"/>
      <c r="GE19" s="86"/>
      <c r="GF19" s="86"/>
      <c r="GG19" s="86"/>
      <c r="GH19" s="86"/>
      <c r="GI19" s="86"/>
      <c r="GJ19" s="86"/>
      <c r="GK19" s="86"/>
      <c r="GL19" s="86"/>
      <c r="GM19" s="86"/>
      <c r="GN19" s="86"/>
      <c r="GO19" s="86"/>
      <c r="GP19" s="86"/>
      <c r="GQ19" s="86"/>
      <c r="GR19" s="86"/>
      <c r="GS19" s="86"/>
      <c r="GT19" s="86"/>
      <c r="GU19" s="86"/>
      <c r="GV19" s="86"/>
      <c r="GW19" s="86"/>
      <c r="GX19" s="86"/>
      <c r="GY19" s="86"/>
      <c r="GZ19" s="86"/>
      <c r="HA19" s="86"/>
      <c r="HB19" s="86"/>
      <c r="HC19" s="86"/>
      <c r="HD19" s="86"/>
      <c r="HE19" s="86"/>
      <c r="HF19" s="86"/>
      <c r="HG19" s="86"/>
      <c r="HH19" s="86"/>
      <c r="HI19" s="86"/>
      <c r="HJ19" s="86"/>
      <c r="HK19" s="86"/>
      <c r="HL19" s="86"/>
      <c r="HM19" s="86"/>
      <c r="HN19" s="86"/>
      <c r="HO19" s="86"/>
      <c r="HP19" s="86"/>
      <c r="HQ19" s="86"/>
      <c r="HR19" s="86"/>
      <c r="HS19" s="86"/>
      <c r="HT19" s="86"/>
      <c r="HU19" s="86"/>
      <c r="HV19" s="86"/>
      <c r="HW19" s="86"/>
      <c r="HX19" s="86"/>
      <c r="HY19" s="86"/>
      <c r="HZ19" s="86"/>
      <c r="IA19" s="86"/>
      <c r="IB19" s="86"/>
      <c r="IC19" s="86"/>
      <c r="ID19" s="86"/>
      <c r="IE19" s="86"/>
      <c r="IF19" s="86"/>
      <c r="IG19" s="86"/>
      <c r="IH19" s="86"/>
      <c r="II19" s="86"/>
      <c r="IJ19" s="86"/>
      <c r="IK19" s="86"/>
      <c r="IL19" s="86"/>
      <c r="IM19" s="86"/>
      <c r="IN19" s="86"/>
      <c r="IO19" s="86"/>
      <c r="IP19" s="86"/>
      <c r="IQ19" s="86"/>
      <c r="IR19" s="86"/>
      <c r="IS19" s="86"/>
      <c r="IT19" s="86"/>
      <c r="IU19" s="86"/>
      <c r="IV19" s="86"/>
      <c r="IW19" s="86"/>
    </row>
    <row r="20" spans="1:257" s="91" customFormat="1" ht="16.2" customHeight="1">
      <c r="A20" s="103" t="s">
        <v>22</v>
      </c>
      <c r="B20" s="92">
        <f>$B$1*$B$2+$B$3*977</f>
        <v>43715</v>
      </c>
      <c r="C20" s="92">
        <f>$B$1*$B$2+$B$3*856</f>
        <v>43594</v>
      </c>
      <c r="D20" s="94">
        <f>$B$1*$B$2+$B$3*743</f>
        <v>43481</v>
      </c>
      <c r="E20" s="94">
        <f>$B$1*$B$2+$B$3*638</f>
        <v>43376</v>
      </c>
      <c r="F20" s="94">
        <f>$B$1*$B$2+$B$3*541</f>
        <v>43279</v>
      </c>
      <c r="G20" s="94">
        <f>$B$1*$B$2+$B$3*452</f>
        <v>43190</v>
      </c>
      <c r="H20" s="94">
        <f>$B$1*$B$2+$B$3*371</f>
        <v>43109</v>
      </c>
      <c r="I20" s="94">
        <f>$B$1*$B$2+$B$3*298</f>
        <v>43036</v>
      </c>
      <c r="J20" s="94">
        <f>$B$1*$B$2+$B$3*233</f>
        <v>42971</v>
      </c>
      <c r="K20" s="94">
        <f>$B$1*$B$2+$B$3*176</f>
        <v>42914</v>
      </c>
      <c r="L20" s="94">
        <f>$B$1*$B$2+$B$3*127</f>
        <v>42865</v>
      </c>
      <c r="M20" s="94">
        <f>$B$1*$B$2+$B$3*86</f>
        <v>42824</v>
      </c>
      <c r="N20" s="94">
        <f>$B$1*$B$2+$B$3*53</f>
        <v>42791</v>
      </c>
      <c r="O20" s="94">
        <f>$B$1*$B$2+$B$3*28</f>
        <v>42766</v>
      </c>
      <c r="P20" s="100">
        <f>$B$1*$B$2+$B$3*11</f>
        <v>42749</v>
      </c>
      <c r="Q20" s="87">
        <f>$B$1*$B$2+$B$3*2</f>
        <v>42740</v>
      </c>
      <c r="R20" s="89">
        <f>$B$1*$B$2+$B$3*3</f>
        <v>42741</v>
      </c>
      <c r="S20" s="90">
        <f>$B$1*$B$2+$B$3*4</f>
        <v>42742</v>
      </c>
      <c r="T20" s="101">
        <f>$B$1*$B$2+$B$3*17</f>
        <v>42755</v>
      </c>
      <c r="U20" s="93">
        <f>$B$1*$B$2+$B$3*38</f>
        <v>42776</v>
      </c>
      <c r="V20" s="93">
        <f>$B$1*$B$2+$B$3*67</f>
        <v>42805</v>
      </c>
      <c r="W20" s="93">
        <f>$B$1*$B$2+$B$3*104</f>
        <v>42842</v>
      </c>
      <c r="X20" s="93">
        <f>$B$1*$B$2+$B$3*149</f>
        <v>42887</v>
      </c>
      <c r="Y20" s="93">
        <f>$B$1*$B$2+$B$3*202</f>
        <v>42940</v>
      </c>
      <c r="Z20" s="93">
        <f>$B$1*$B$2+$B$3*263</f>
        <v>43001</v>
      </c>
      <c r="AA20" s="93">
        <f>$B$1*$B$2+$B$3*332</f>
        <v>43070</v>
      </c>
      <c r="AB20" s="93">
        <f>$B$1*$B$2+$B$3*409</f>
        <v>43147</v>
      </c>
      <c r="AC20" s="93">
        <f>$B$1*$B$2+$B$3*494</f>
        <v>43232</v>
      </c>
      <c r="AD20" s="93">
        <f>$B$1*$B$2+$B$3*587</f>
        <v>43325</v>
      </c>
      <c r="AE20" s="93">
        <f>$B$1*$B$2+$B$3*688</f>
        <v>43426</v>
      </c>
      <c r="AF20" s="93">
        <f>$B$1*$B$2+$B$3*797</f>
        <v>43535</v>
      </c>
      <c r="AG20" s="93">
        <f>$B$1*$B$2+$B$3*914</f>
        <v>43652</v>
      </c>
      <c r="AH20" s="92">
        <f>$B$1*$B$2+$B$3*1039</f>
        <v>43777</v>
      </c>
      <c r="AI20" s="103" t="s">
        <v>23</v>
      </c>
      <c r="AJ20" s="86"/>
      <c r="AK20" s="86"/>
      <c r="AL20" s="86"/>
      <c r="AM20" s="86"/>
      <c r="AN20" s="86"/>
      <c r="AO20" s="86"/>
      <c r="AP20" s="86"/>
      <c r="AQ20" s="86"/>
      <c r="AR20" s="86"/>
      <c r="AS20" s="86"/>
      <c r="AT20" s="86"/>
      <c r="AU20" s="86"/>
      <c r="AV20" s="86"/>
      <c r="AW20" s="86"/>
      <c r="AX20" s="86"/>
      <c r="AY20" s="86"/>
      <c r="AZ20" s="86"/>
      <c r="BA20" s="86"/>
      <c r="BB20" s="86"/>
      <c r="BC20" s="86"/>
      <c r="BD20" s="86"/>
      <c r="BE20" s="86"/>
      <c r="BF20" s="86"/>
      <c r="BG20" s="86"/>
      <c r="BH20" s="86"/>
      <c r="BI20" s="86"/>
      <c r="BJ20" s="86"/>
      <c r="BK20" s="86"/>
      <c r="BL20" s="86"/>
      <c r="BM20" s="86"/>
      <c r="BN20" s="86"/>
      <c r="BO20" s="86"/>
      <c r="BP20" s="86"/>
      <c r="BQ20" s="86"/>
      <c r="BR20" s="86"/>
      <c r="BS20" s="86"/>
      <c r="BT20" s="86"/>
      <c r="BU20" s="86"/>
      <c r="BV20" s="86"/>
      <c r="BW20" s="86"/>
      <c r="BX20" s="86"/>
      <c r="BY20" s="86"/>
      <c r="BZ20" s="86"/>
      <c r="CA20" s="86"/>
      <c r="CB20" s="86"/>
      <c r="CC20" s="86"/>
      <c r="CD20" s="86"/>
      <c r="CE20" s="86"/>
      <c r="CF20" s="86"/>
      <c r="CG20" s="86"/>
      <c r="CH20" s="86"/>
      <c r="CI20" s="86"/>
      <c r="CJ20" s="86"/>
      <c r="CK20" s="86"/>
      <c r="CL20" s="86"/>
      <c r="CM20" s="86"/>
      <c r="CN20" s="86"/>
      <c r="CO20" s="86"/>
      <c r="CP20" s="86"/>
      <c r="CQ20" s="86"/>
      <c r="CR20" s="86"/>
      <c r="CS20" s="86"/>
      <c r="CT20" s="86"/>
      <c r="CU20" s="86"/>
      <c r="CV20" s="86"/>
      <c r="CW20" s="86"/>
      <c r="CX20" s="86"/>
      <c r="CY20" s="86"/>
      <c r="CZ20" s="86"/>
      <c r="DA20" s="86"/>
      <c r="DB20" s="86"/>
      <c r="DC20" s="86"/>
      <c r="DD20" s="86"/>
      <c r="DE20" s="86"/>
      <c r="DF20" s="86"/>
      <c r="DG20" s="86"/>
      <c r="DH20" s="86"/>
      <c r="DI20" s="86"/>
      <c r="DJ20" s="86"/>
      <c r="DK20" s="86"/>
      <c r="DL20" s="86"/>
      <c r="DM20" s="86"/>
      <c r="DN20" s="86"/>
      <c r="DO20" s="86"/>
      <c r="DP20" s="86"/>
      <c r="DQ20" s="86"/>
      <c r="DR20" s="86"/>
      <c r="DS20" s="86"/>
      <c r="DT20" s="86"/>
      <c r="DU20" s="86"/>
      <c r="DV20" s="86"/>
      <c r="DW20" s="86"/>
      <c r="DX20" s="86"/>
      <c r="DY20" s="86"/>
      <c r="DZ20" s="86"/>
      <c r="EA20" s="86"/>
      <c r="EB20" s="86"/>
      <c r="EC20" s="86"/>
      <c r="ED20" s="86"/>
      <c r="EE20" s="86"/>
      <c r="EF20" s="86"/>
      <c r="EG20" s="86"/>
      <c r="EH20" s="86"/>
      <c r="EI20" s="86"/>
      <c r="EJ20" s="86"/>
      <c r="EK20" s="86"/>
      <c r="EL20" s="86"/>
      <c r="EM20" s="86"/>
      <c r="EN20" s="86"/>
      <c r="EO20" s="86"/>
      <c r="EP20" s="86"/>
      <c r="EQ20" s="86"/>
      <c r="ER20" s="86"/>
      <c r="ES20" s="86"/>
      <c r="ET20" s="86"/>
      <c r="EU20" s="86"/>
      <c r="EV20" s="86"/>
      <c r="EW20" s="86"/>
      <c r="EX20" s="86"/>
      <c r="EY20" s="86"/>
      <c r="EZ20" s="86"/>
      <c r="FA20" s="86"/>
      <c r="FB20" s="86"/>
      <c r="FC20" s="86"/>
      <c r="FD20" s="86"/>
      <c r="FE20" s="86"/>
      <c r="FF20" s="86"/>
      <c r="FG20" s="86"/>
      <c r="FH20" s="86"/>
      <c r="FI20" s="86"/>
      <c r="FJ20" s="86"/>
      <c r="FK20" s="86"/>
      <c r="FL20" s="86"/>
      <c r="FM20" s="86"/>
      <c r="FN20" s="86"/>
      <c r="FO20" s="86"/>
      <c r="FP20" s="86"/>
      <c r="FQ20" s="86"/>
      <c r="FR20" s="86"/>
      <c r="FS20" s="86"/>
      <c r="FT20" s="86"/>
      <c r="FU20" s="86"/>
      <c r="FV20" s="86"/>
      <c r="FW20" s="86"/>
      <c r="FX20" s="86"/>
      <c r="FY20" s="86"/>
      <c r="FZ20" s="86"/>
      <c r="GA20" s="86"/>
      <c r="GB20" s="86"/>
      <c r="GC20" s="86"/>
      <c r="GD20" s="86"/>
      <c r="GE20" s="86"/>
      <c r="GF20" s="86"/>
      <c r="GG20" s="86"/>
      <c r="GH20" s="86"/>
      <c r="GI20" s="86"/>
      <c r="GJ20" s="86"/>
      <c r="GK20" s="86"/>
      <c r="GL20" s="86"/>
      <c r="GM20" s="86"/>
      <c r="GN20" s="86"/>
      <c r="GO20" s="86"/>
      <c r="GP20" s="86"/>
      <c r="GQ20" s="86"/>
      <c r="GR20" s="86"/>
      <c r="GS20" s="86"/>
      <c r="GT20" s="86"/>
      <c r="GU20" s="86"/>
      <c r="GV20" s="86"/>
      <c r="GW20" s="86"/>
      <c r="GX20" s="86"/>
      <c r="GY20" s="86"/>
      <c r="GZ20" s="86"/>
      <c r="HA20" s="86"/>
      <c r="HB20" s="86"/>
      <c r="HC20" s="86"/>
      <c r="HD20" s="86"/>
      <c r="HE20" s="86"/>
      <c r="HF20" s="86"/>
      <c r="HG20" s="86"/>
      <c r="HH20" s="86"/>
      <c r="HI20" s="86"/>
      <c r="HJ20" s="86"/>
      <c r="HK20" s="86"/>
      <c r="HL20" s="86"/>
      <c r="HM20" s="86"/>
      <c r="HN20" s="86"/>
      <c r="HO20" s="86"/>
      <c r="HP20" s="86"/>
      <c r="HQ20" s="86"/>
      <c r="HR20" s="86"/>
      <c r="HS20" s="86"/>
      <c r="HT20" s="86"/>
      <c r="HU20" s="86"/>
      <c r="HV20" s="86"/>
      <c r="HW20" s="86"/>
      <c r="HX20" s="86"/>
      <c r="HY20" s="86"/>
      <c r="HZ20" s="86"/>
      <c r="IA20" s="86"/>
      <c r="IB20" s="86"/>
      <c r="IC20" s="86"/>
      <c r="ID20" s="86"/>
      <c r="IE20" s="86"/>
      <c r="IF20" s="86"/>
      <c r="IG20" s="86"/>
      <c r="IH20" s="86"/>
      <c r="II20" s="86"/>
      <c r="IJ20" s="86"/>
      <c r="IK20" s="86"/>
      <c r="IL20" s="86"/>
      <c r="IM20" s="86"/>
      <c r="IN20" s="86"/>
      <c r="IO20" s="86"/>
      <c r="IP20" s="86"/>
      <c r="IQ20" s="86"/>
      <c r="IR20" s="86"/>
      <c r="IS20" s="86"/>
      <c r="IT20" s="86"/>
      <c r="IU20" s="86"/>
      <c r="IV20" s="86"/>
      <c r="IW20" s="86"/>
    </row>
    <row r="21" spans="1:257" s="91" customFormat="1" ht="16.2" customHeight="1">
      <c r="A21" s="104" t="s">
        <v>50</v>
      </c>
      <c r="B21" s="98">
        <f>$B$1*$B$2+$B$3*976</f>
        <v>43714</v>
      </c>
      <c r="C21" s="98">
        <f>$B$1*$B$2+$B$3*855</f>
        <v>43593</v>
      </c>
      <c r="D21" s="100">
        <f>$B$1*$B$2+$B$3*742</f>
        <v>43480</v>
      </c>
      <c r="E21" s="100">
        <f>$B$1*$B$2+$B$3*637</f>
        <v>43375</v>
      </c>
      <c r="F21" s="100">
        <f>$B$1*$B$2+$B$3*540</f>
        <v>43278</v>
      </c>
      <c r="G21" s="100">
        <f>$B$1*$B$2+$B$3*451</f>
        <v>43189</v>
      </c>
      <c r="H21" s="100">
        <f>$B$1*$B$2+$B$3*370</f>
        <v>43108</v>
      </c>
      <c r="I21" s="100">
        <f>$B$1*$B$2+$B$3*297</f>
        <v>43035</v>
      </c>
      <c r="J21" s="100">
        <f>$B$1*$B$2+$B$3*232</f>
        <v>42970</v>
      </c>
      <c r="K21" s="100">
        <f>$B$1*$B$2+$B$3*175</f>
        <v>42913</v>
      </c>
      <c r="L21" s="100">
        <f>$B$1*$B$2+$B$3*126</f>
        <v>42864</v>
      </c>
      <c r="M21" s="100">
        <f>$B$1*$B$2+$B$3*85</f>
        <v>42823</v>
      </c>
      <c r="N21" s="100">
        <f>$B$1*$B$2+$B$3*52</f>
        <v>42790</v>
      </c>
      <c r="O21" s="100">
        <f>$B$1*$B$2+$B$3*27</f>
        <v>42765</v>
      </c>
      <c r="P21" s="100">
        <f>$B$1*$B$2+$B$3*10</f>
        <v>42748</v>
      </c>
      <c r="Q21" s="105">
        <f>$B$1*$B$2+$B$3</f>
        <v>42739</v>
      </c>
      <c r="R21" s="106">
        <f>$B$1*$B$2</f>
        <v>42738</v>
      </c>
      <c r="S21" s="101">
        <f>$B$1*$B$2+$B$3*5</f>
        <v>42743</v>
      </c>
      <c r="T21" s="101">
        <f>$B$1*$B$2+$B$3*18</f>
        <v>42756</v>
      </c>
      <c r="U21" s="101">
        <f>$B$1*$B$2+$B$3*39</f>
        <v>42777</v>
      </c>
      <c r="V21" s="101">
        <f>$B$1*$B$2+$B$3*68</f>
        <v>42806</v>
      </c>
      <c r="W21" s="101">
        <f>$B$1*$B$2+$B$3*105</f>
        <v>42843</v>
      </c>
      <c r="X21" s="101">
        <f>$B$1*$B$2+$B$3*150</f>
        <v>42888</v>
      </c>
      <c r="Y21" s="101">
        <f>$B$1*$B$2+$B$3*203</f>
        <v>42941</v>
      </c>
      <c r="Z21" s="101">
        <f>$B$1*$B$2+$B$3*264</f>
        <v>43002</v>
      </c>
      <c r="AA21" s="101">
        <f>$B$1*$B$2+$B$3*333</f>
        <v>43071</v>
      </c>
      <c r="AB21" s="101">
        <f>$B$1*$B$2+$B$3*410</f>
        <v>43148</v>
      </c>
      <c r="AC21" s="101">
        <f>$B$1*$B$2+$B$3*495</f>
        <v>43233</v>
      </c>
      <c r="AD21" s="101">
        <f>$B$1*$B$2+$B$3*588</f>
        <v>43326</v>
      </c>
      <c r="AE21" s="101">
        <f>$B$1*$B$2+$B$3*689</f>
        <v>43427</v>
      </c>
      <c r="AF21" s="101">
        <f>$B$1*$B$2+$B$3*798</f>
        <v>43536</v>
      </c>
      <c r="AG21" s="101">
        <f>$B$1*$B$2+$B$3*915</f>
        <v>43653</v>
      </c>
      <c r="AH21" s="98">
        <f>$B$1*$B$2+$B$3*1040</f>
        <v>43778</v>
      </c>
      <c r="AI21" s="107" t="s">
        <v>25</v>
      </c>
      <c r="AJ21" s="86"/>
      <c r="AK21" s="86"/>
      <c r="AL21" s="86"/>
      <c r="AM21" s="86"/>
      <c r="AN21" s="86"/>
      <c r="AO21" s="86"/>
      <c r="AP21" s="86"/>
      <c r="AQ21" s="86"/>
      <c r="AR21" s="86"/>
      <c r="AS21" s="86"/>
      <c r="AT21" s="86"/>
      <c r="AU21" s="86"/>
      <c r="AV21" s="86"/>
      <c r="AW21" s="86"/>
      <c r="AX21" s="86"/>
      <c r="AY21" s="86"/>
      <c r="AZ21" s="86"/>
      <c r="BA21" s="86"/>
      <c r="BB21" s="86"/>
      <c r="BC21" s="86"/>
      <c r="BD21" s="86"/>
      <c r="BE21" s="86"/>
      <c r="BF21" s="86"/>
      <c r="BG21" s="86"/>
      <c r="BH21" s="86"/>
      <c r="BI21" s="86"/>
      <c r="BJ21" s="86"/>
      <c r="BK21" s="86"/>
      <c r="BL21" s="86"/>
      <c r="BM21" s="86"/>
      <c r="BN21" s="86"/>
      <c r="BO21" s="86"/>
      <c r="BP21" s="86"/>
      <c r="BQ21" s="86"/>
      <c r="BR21" s="86"/>
      <c r="BS21" s="86"/>
      <c r="BT21" s="86"/>
      <c r="BU21" s="86"/>
      <c r="BV21" s="86"/>
      <c r="BW21" s="86"/>
      <c r="BX21" s="86"/>
      <c r="BY21" s="86"/>
      <c r="BZ21" s="86"/>
      <c r="CA21" s="86"/>
      <c r="CB21" s="86"/>
      <c r="CC21" s="86"/>
      <c r="CD21" s="86"/>
      <c r="CE21" s="86"/>
      <c r="CF21" s="86"/>
      <c r="CG21" s="86"/>
      <c r="CH21" s="86"/>
      <c r="CI21" s="86"/>
      <c r="CJ21" s="86"/>
      <c r="CK21" s="86"/>
      <c r="CL21" s="86"/>
      <c r="CM21" s="86"/>
      <c r="CN21" s="86"/>
      <c r="CO21" s="86"/>
      <c r="CP21" s="86"/>
      <c r="CQ21" s="86"/>
      <c r="CR21" s="86"/>
      <c r="CS21" s="86"/>
      <c r="CT21" s="86"/>
      <c r="CU21" s="86"/>
      <c r="CV21" s="86"/>
      <c r="CW21" s="86"/>
      <c r="CX21" s="86"/>
      <c r="CY21" s="86"/>
      <c r="CZ21" s="86"/>
      <c r="DA21" s="86"/>
      <c r="DB21" s="86"/>
      <c r="DC21" s="86"/>
      <c r="DD21" s="86"/>
      <c r="DE21" s="86"/>
      <c r="DF21" s="86"/>
      <c r="DG21" s="86"/>
      <c r="DH21" s="86"/>
      <c r="DI21" s="86"/>
      <c r="DJ21" s="86"/>
      <c r="DK21" s="86"/>
      <c r="DL21" s="86"/>
      <c r="DM21" s="86"/>
      <c r="DN21" s="86"/>
      <c r="DO21" s="86"/>
      <c r="DP21" s="86"/>
      <c r="DQ21" s="86"/>
      <c r="DR21" s="86"/>
      <c r="DS21" s="86"/>
      <c r="DT21" s="86"/>
      <c r="DU21" s="86"/>
      <c r="DV21" s="86"/>
      <c r="DW21" s="86"/>
      <c r="DX21" s="86"/>
      <c r="DY21" s="86"/>
      <c r="DZ21" s="86"/>
      <c r="EA21" s="86"/>
      <c r="EB21" s="86"/>
      <c r="EC21" s="86"/>
      <c r="ED21" s="86"/>
      <c r="EE21" s="86"/>
      <c r="EF21" s="86"/>
      <c r="EG21" s="86"/>
      <c r="EH21" s="86"/>
      <c r="EI21" s="86"/>
      <c r="EJ21" s="86"/>
      <c r="EK21" s="86"/>
      <c r="EL21" s="86"/>
      <c r="EM21" s="86"/>
      <c r="EN21" s="86"/>
      <c r="EO21" s="86"/>
      <c r="EP21" s="86"/>
      <c r="EQ21" s="86"/>
      <c r="ER21" s="86"/>
      <c r="ES21" s="86"/>
      <c r="ET21" s="86"/>
      <c r="EU21" s="86"/>
      <c r="EV21" s="86"/>
      <c r="EW21" s="86"/>
      <c r="EX21" s="86"/>
      <c r="EY21" s="86"/>
      <c r="EZ21" s="86"/>
      <c r="FA21" s="86"/>
      <c r="FB21" s="86"/>
      <c r="FC21" s="86"/>
      <c r="FD21" s="86"/>
      <c r="FE21" s="86"/>
      <c r="FF21" s="86"/>
      <c r="FG21" s="86"/>
      <c r="FH21" s="86"/>
      <c r="FI21" s="86"/>
      <c r="FJ21" s="86"/>
      <c r="FK21" s="86"/>
      <c r="FL21" s="86"/>
      <c r="FM21" s="86"/>
      <c r="FN21" s="86"/>
      <c r="FO21" s="86"/>
      <c r="FP21" s="86"/>
      <c r="FQ21" s="86"/>
      <c r="FR21" s="86"/>
      <c r="FS21" s="86"/>
      <c r="FT21" s="86"/>
      <c r="FU21" s="86"/>
      <c r="FV21" s="86"/>
      <c r="FW21" s="86"/>
      <c r="FX21" s="86"/>
      <c r="FY21" s="86"/>
      <c r="FZ21" s="86"/>
      <c r="GA21" s="86"/>
      <c r="GB21" s="86"/>
      <c r="GC21" s="86"/>
      <c r="GD21" s="86"/>
      <c r="GE21" s="86"/>
      <c r="GF21" s="86"/>
      <c r="GG21" s="86"/>
      <c r="GH21" s="86"/>
      <c r="GI21" s="86"/>
      <c r="GJ21" s="86"/>
      <c r="GK21" s="86"/>
      <c r="GL21" s="86"/>
      <c r="GM21" s="86"/>
      <c r="GN21" s="86"/>
      <c r="GO21" s="86"/>
      <c r="GP21" s="86"/>
      <c r="GQ21" s="86"/>
      <c r="GR21" s="86"/>
      <c r="GS21" s="86"/>
      <c r="GT21" s="86"/>
      <c r="GU21" s="86"/>
      <c r="GV21" s="86"/>
      <c r="GW21" s="86"/>
      <c r="GX21" s="86"/>
      <c r="GY21" s="86"/>
      <c r="GZ21" s="86"/>
      <c r="HA21" s="86"/>
      <c r="HB21" s="86"/>
      <c r="HC21" s="86"/>
      <c r="HD21" s="86"/>
      <c r="HE21" s="86"/>
      <c r="HF21" s="86"/>
      <c r="HG21" s="86"/>
      <c r="HH21" s="86"/>
      <c r="HI21" s="86"/>
      <c r="HJ21" s="86"/>
      <c r="HK21" s="86"/>
      <c r="HL21" s="86"/>
      <c r="HM21" s="86"/>
      <c r="HN21" s="86"/>
      <c r="HO21" s="86"/>
      <c r="HP21" s="86"/>
      <c r="HQ21" s="86"/>
      <c r="HR21" s="86"/>
      <c r="HS21" s="86"/>
      <c r="HT21" s="86"/>
      <c r="HU21" s="86"/>
      <c r="HV21" s="86"/>
      <c r="HW21" s="86"/>
      <c r="HX21" s="86"/>
      <c r="HY21" s="86"/>
      <c r="HZ21" s="86"/>
      <c r="IA21" s="86"/>
      <c r="IB21" s="86"/>
      <c r="IC21" s="86"/>
      <c r="ID21" s="86"/>
      <c r="IE21" s="86"/>
      <c r="IF21" s="86"/>
      <c r="IG21" s="86"/>
      <c r="IH21" s="86"/>
      <c r="II21" s="86"/>
      <c r="IJ21" s="86"/>
      <c r="IK21" s="86"/>
      <c r="IL21" s="86"/>
      <c r="IM21" s="86"/>
      <c r="IN21" s="86"/>
      <c r="IO21" s="86"/>
      <c r="IP21" s="86"/>
      <c r="IQ21" s="86"/>
      <c r="IR21" s="86"/>
      <c r="IS21" s="86"/>
      <c r="IT21" s="86"/>
      <c r="IU21" s="86"/>
      <c r="IV21" s="86"/>
      <c r="IW21" s="86"/>
    </row>
    <row r="22" spans="1:257" s="91" customFormat="1" ht="16.2" customHeight="1">
      <c r="A22" s="108"/>
      <c r="B22" s="92">
        <f>$B$1*$B$2+$B$3*975</f>
        <v>43713</v>
      </c>
      <c r="C22" s="92">
        <f>$B$1*$B$2+$B$3*854</f>
        <v>43592</v>
      </c>
      <c r="D22" s="94">
        <f>$B$1*$B$2+$B$3*741</f>
        <v>43479</v>
      </c>
      <c r="E22" s="94">
        <f>$B$1*$B$2+$B$3*636</f>
        <v>43374</v>
      </c>
      <c r="F22" s="94">
        <f>$B$1*$B$2+$B$3*539</f>
        <v>43277</v>
      </c>
      <c r="G22" s="94">
        <f>$B$1*$B$2+$B$3*450</f>
        <v>43188</v>
      </c>
      <c r="H22" s="94">
        <f>$B$1*$B$2+$B$3*369</f>
        <v>43107</v>
      </c>
      <c r="I22" s="94">
        <f>$B$1*$B$2+$B$3*296</f>
        <v>43034</v>
      </c>
      <c r="J22" s="94">
        <f>$B$1*$B$2+$B$3*231</f>
        <v>42969</v>
      </c>
      <c r="K22" s="94">
        <f>$B$1*$B$2+$B$3*174</f>
        <v>42912</v>
      </c>
      <c r="L22" s="94">
        <f>$B$1*$B$2+$B$3*125</f>
        <v>42863</v>
      </c>
      <c r="M22" s="94">
        <f>$B$1*$B$2+$B$3*84</f>
        <v>42822</v>
      </c>
      <c r="N22" s="94">
        <f>$B$1*$B$2+$B$3*51</f>
        <v>42789</v>
      </c>
      <c r="O22" s="94">
        <f>$B$1*$B$2+$B$3*26</f>
        <v>42764</v>
      </c>
      <c r="P22" s="105">
        <f>$B$1*$B$2+$B$3*9</f>
        <v>42747</v>
      </c>
      <c r="Q22" s="109">
        <f>$B$1*$B$2+$B$3*8</f>
        <v>42746</v>
      </c>
      <c r="R22" s="110">
        <f>$B$1*$B$2+$B$3*7</f>
        <v>42745</v>
      </c>
      <c r="S22" s="111">
        <f>$B$1*$B$2+$B$3*6</f>
        <v>42744</v>
      </c>
      <c r="T22" s="101">
        <f>$B$1*$B$2+$B$3*19</f>
        <v>42757</v>
      </c>
      <c r="U22" s="93">
        <f>$B$1*$B$2+$B$3*40</f>
        <v>42778</v>
      </c>
      <c r="V22" s="93">
        <f>$B$1*$B$2+$B$3*69</f>
        <v>42807</v>
      </c>
      <c r="W22" s="93">
        <f>$B$1*$B$2+$B$3*106</f>
        <v>42844</v>
      </c>
      <c r="X22" s="93">
        <f>$B$1*$B$2+$B$3*151</f>
        <v>42889</v>
      </c>
      <c r="Y22" s="93">
        <f>$B$1*$B$2+$B$3*204</f>
        <v>42942</v>
      </c>
      <c r="Z22" s="93">
        <f>$B$1*$B$2+$B$3*265</f>
        <v>43003</v>
      </c>
      <c r="AA22" s="93">
        <f>$B$1*$B$2+$B$3*334</f>
        <v>43072</v>
      </c>
      <c r="AB22" s="93">
        <f>$B$1*$B$2+$B$3*411</f>
        <v>43149</v>
      </c>
      <c r="AC22" s="93">
        <f>$B$1*$B$2+$B$3*496</f>
        <v>43234</v>
      </c>
      <c r="AD22" s="93">
        <f>$B$1*$B$2+$B$3*589</f>
        <v>43327</v>
      </c>
      <c r="AE22" s="93">
        <f>$B$1*$B$2+$B$3*690</f>
        <v>43428</v>
      </c>
      <c r="AF22" s="93">
        <f>$B$1*$B$2+$B$3*799</f>
        <v>43537</v>
      </c>
      <c r="AG22" s="93">
        <f>$B$1*$B$2+$B$3*916</f>
        <v>43654</v>
      </c>
      <c r="AH22" s="92">
        <f>$B$1*$B$2+$B$3*1041</f>
        <v>43779</v>
      </c>
      <c r="AI22" s="112"/>
      <c r="AJ22" s="86"/>
      <c r="AK22" s="86"/>
      <c r="AL22" s="86"/>
      <c r="AM22" s="86"/>
      <c r="AN22" s="86"/>
      <c r="AO22" s="86"/>
      <c r="AP22" s="86"/>
      <c r="AQ22" s="86"/>
      <c r="AR22" s="86"/>
      <c r="AS22" s="86"/>
      <c r="AT22" s="86"/>
      <c r="AU22" s="86"/>
      <c r="AV22" s="86"/>
      <c r="AW22" s="86"/>
      <c r="AX22" s="86"/>
      <c r="AY22" s="86"/>
      <c r="AZ22" s="86"/>
      <c r="BA22" s="86"/>
      <c r="BB22" s="86"/>
      <c r="BC22" s="86"/>
      <c r="BD22" s="86"/>
      <c r="BE22" s="86"/>
      <c r="BF22" s="86"/>
      <c r="BG22" s="86"/>
      <c r="BH22" s="86"/>
      <c r="BI22" s="86"/>
      <c r="BJ22" s="86"/>
      <c r="BK22" s="86"/>
      <c r="BL22" s="86"/>
      <c r="BM22" s="86"/>
      <c r="BN22" s="86"/>
      <c r="BO22" s="86"/>
      <c r="BP22" s="86"/>
      <c r="BQ22" s="86"/>
      <c r="BR22" s="86"/>
      <c r="BS22" s="86"/>
      <c r="BT22" s="86"/>
      <c r="BU22" s="86"/>
      <c r="BV22" s="86"/>
      <c r="BW22" s="86"/>
      <c r="BX22" s="86"/>
      <c r="BY22" s="86"/>
      <c r="BZ22" s="86"/>
      <c r="CA22" s="86"/>
      <c r="CB22" s="86"/>
      <c r="CC22" s="86"/>
      <c r="CD22" s="86"/>
      <c r="CE22" s="86"/>
      <c r="CF22" s="86"/>
      <c r="CG22" s="86"/>
      <c r="CH22" s="86"/>
      <c r="CI22" s="86"/>
      <c r="CJ22" s="86"/>
      <c r="CK22" s="86"/>
      <c r="CL22" s="86"/>
      <c r="CM22" s="86"/>
      <c r="CN22" s="86"/>
      <c r="CO22" s="86"/>
      <c r="CP22" s="86"/>
      <c r="CQ22" s="86"/>
      <c r="CR22" s="86"/>
      <c r="CS22" s="86"/>
      <c r="CT22" s="86"/>
      <c r="CU22" s="86"/>
      <c r="CV22" s="86"/>
      <c r="CW22" s="86"/>
      <c r="CX22" s="86"/>
      <c r="CY22" s="86"/>
      <c r="CZ22" s="86"/>
      <c r="DA22" s="86"/>
      <c r="DB22" s="86"/>
      <c r="DC22" s="86"/>
      <c r="DD22" s="86"/>
      <c r="DE22" s="86"/>
      <c r="DF22" s="86"/>
      <c r="DG22" s="86"/>
      <c r="DH22" s="86"/>
      <c r="DI22" s="86"/>
      <c r="DJ22" s="86"/>
      <c r="DK22" s="86"/>
      <c r="DL22" s="86"/>
      <c r="DM22" s="86"/>
      <c r="DN22" s="86"/>
      <c r="DO22" s="86"/>
      <c r="DP22" s="86"/>
      <c r="DQ22" s="86"/>
      <c r="DR22" s="86"/>
      <c r="DS22" s="86"/>
      <c r="DT22" s="86"/>
      <c r="DU22" s="86"/>
      <c r="DV22" s="86"/>
      <c r="DW22" s="86"/>
      <c r="DX22" s="86"/>
      <c r="DY22" s="86"/>
      <c r="DZ22" s="86"/>
      <c r="EA22" s="86"/>
      <c r="EB22" s="86"/>
      <c r="EC22" s="86"/>
      <c r="ED22" s="86"/>
      <c r="EE22" s="86"/>
      <c r="EF22" s="86"/>
      <c r="EG22" s="86"/>
      <c r="EH22" s="86"/>
      <c r="EI22" s="86"/>
      <c r="EJ22" s="86"/>
      <c r="EK22" s="86"/>
      <c r="EL22" s="86"/>
      <c r="EM22" s="86"/>
      <c r="EN22" s="86"/>
      <c r="EO22" s="86"/>
      <c r="EP22" s="86"/>
      <c r="EQ22" s="86"/>
      <c r="ER22" s="86"/>
      <c r="ES22" s="86"/>
      <c r="ET22" s="86"/>
      <c r="EU22" s="86"/>
      <c r="EV22" s="86"/>
      <c r="EW22" s="86"/>
      <c r="EX22" s="86"/>
      <c r="EY22" s="86"/>
      <c r="EZ22" s="86"/>
      <c r="FA22" s="86"/>
      <c r="FB22" s="86"/>
      <c r="FC22" s="86"/>
      <c r="FD22" s="86"/>
      <c r="FE22" s="86"/>
      <c r="FF22" s="86"/>
      <c r="FG22" s="86"/>
      <c r="FH22" s="86"/>
      <c r="FI22" s="86"/>
      <c r="FJ22" s="86"/>
      <c r="FK22" s="86"/>
      <c r="FL22" s="86"/>
      <c r="FM22" s="86"/>
      <c r="FN22" s="86"/>
      <c r="FO22" s="86"/>
      <c r="FP22" s="86"/>
      <c r="FQ22" s="86"/>
      <c r="FR22" s="86"/>
      <c r="FS22" s="86"/>
      <c r="FT22" s="86"/>
      <c r="FU22" s="86"/>
      <c r="FV22" s="86"/>
      <c r="FW22" s="86"/>
      <c r="FX22" s="86"/>
      <c r="FY22" s="86"/>
      <c r="FZ22" s="86"/>
      <c r="GA22" s="86"/>
      <c r="GB22" s="86"/>
      <c r="GC22" s="86"/>
      <c r="GD22" s="86"/>
      <c r="GE22" s="86"/>
      <c r="GF22" s="86"/>
      <c r="GG22" s="86"/>
      <c r="GH22" s="86"/>
      <c r="GI22" s="86"/>
      <c r="GJ22" s="86"/>
      <c r="GK22" s="86"/>
      <c r="GL22" s="86"/>
      <c r="GM22" s="86"/>
      <c r="GN22" s="86"/>
      <c r="GO22" s="86"/>
      <c r="GP22" s="86"/>
      <c r="GQ22" s="86"/>
      <c r="GR22" s="86"/>
      <c r="GS22" s="86"/>
      <c r="GT22" s="86"/>
      <c r="GU22" s="86"/>
      <c r="GV22" s="86"/>
      <c r="GW22" s="86"/>
      <c r="GX22" s="86"/>
      <c r="GY22" s="86"/>
      <c r="GZ22" s="86"/>
      <c r="HA22" s="86"/>
      <c r="HB22" s="86"/>
      <c r="HC22" s="86"/>
      <c r="HD22" s="86"/>
      <c r="HE22" s="86"/>
      <c r="HF22" s="86"/>
      <c r="HG22" s="86"/>
      <c r="HH22" s="86"/>
      <c r="HI22" s="86"/>
      <c r="HJ22" s="86"/>
      <c r="HK22" s="86"/>
      <c r="HL22" s="86"/>
      <c r="HM22" s="86"/>
      <c r="HN22" s="86"/>
      <c r="HO22" s="86"/>
      <c r="HP22" s="86"/>
      <c r="HQ22" s="86"/>
      <c r="HR22" s="86"/>
      <c r="HS22" s="86"/>
      <c r="HT22" s="86"/>
      <c r="HU22" s="86"/>
      <c r="HV22" s="86"/>
      <c r="HW22" s="86"/>
      <c r="HX22" s="86"/>
      <c r="HY22" s="86"/>
      <c r="HZ22" s="86"/>
      <c r="IA22" s="86"/>
      <c r="IB22" s="86"/>
      <c r="IC22" s="86"/>
      <c r="ID22" s="86"/>
      <c r="IE22" s="86"/>
      <c r="IF22" s="86"/>
      <c r="IG22" s="86"/>
      <c r="IH22" s="86"/>
      <c r="II22" s="86"/>
      <c r="IJ22" s="86"/>
      <c r="IK22" s="86"/>
      <c r="IL22" s="86"/>
      <c r="IM22" s="86"/>
      <c r="IN22" s="86"/>
      <c r="IO22" s="86"/>
      <c r="IP22" s="86"/>
      <c r="IQ22" s="86"/>
      <c r="IR22" s="86"/>
      <c r="IS22" s="86"/>
      <c r="IT22" s="86"/>
      <c r="IU22" s="86"/>
      <c r="IV22" s="86"/>
      <c r="IW22" s="86"/>
    </row>
    <row r="23" spans="1:257" s="91" customFormat="1" ht="16.2" customHeight="1">
      <c r="A23" s="86"/>
      <c r="B23" s="92">
        <f>$B$1*$B$2+$B$3*974</f>
        <v>43712</v>
      </c>
      <c r="C23" s="92">
        <f>$B$1*$B$2+$B$3*853</f>
        <v>43591</v>
      </c>
      <c r="D23" s="94">
        <f>$B$1*$B$2+$B$3*740</f>
        <v>43478</v>
      </c>
      <c r="E23" s="94">
        <f>$B$1*$B$2+$B$3*635</f>
        <v>43373</v>
      </c>
      <c r="F23" s="94">
        <f>$B$1*$B$2+$B$3*538</f>
        <v>43276</v>
      </c>
      <c r="G23" s="94">
        <f>$B$1*$B$2+$B$3*449</f>
        <v>43187</v>
      </c>
      <c r="H23" s="94">
        <f>$B$1*$B$2+$B$3*368</f>
        <v>43106</v>
      </c>
      <c r="I23" s="94">
        <f>$B$1*$B$2+$B$3*295</f>
        <v>43033</v>
      </c>
      <c r="J23" s="94">
        <f>$B$1*$B$2+$B$3*230</f>
        <v>42968</v>
      </c>
      <c r="K23" s="94">
        <f>$B$1*$B$2+$B$3*173</f>
        <v>42911</v>
      </c>
      <c r="L23" s="94">
        <f>$B$1*$B$2+$B$3*124</f>
        <v>42862</v>
      </c>
      <c r="M23" s="94">
        <f>$B$1*$B$2+$B$3*83</f>
        <v>42821</v>
      </c>
      <c r="N23" s="100">
        <f>$B$1*$B$2+$B$3*50</f>
        <v>42788</v>
      </c>
      <c r="O23" s="113">
        <f>$B$1*$B$2+$B$3*25</f>
        <v>42763</v>
      </c>
      <c r="P23" s="109">
        <f>$B$1*$B$2+$B$3*24</f>
        <v>42762</v>
      </c>
      <c r="Q23" s="110">
        <f>$B$1*$B$2+$B$3*23</f>
        <v>42761</v>
      </c>
      <c r="R23" s="110">
        <f>$B$1*$B$2+$B$3*22</f>
        <v>42760</v>
      </c>
      <c r="S23" s="110">
        <f>$B$1*$B$2+$B$3*21</f>
        <v>42759</v>
      </c>
      <c r="T23" s="111">
        <f>$B$1*$B$2+$B$3*20</f>
        <v>42758</v>
      </c>
      <c r="U23" s="93">
        <f>$B$1*$B$2+$B$3*41</f>
        <v>42779</v>
      </c>
      <c r="V23" s="101">
        <f>$B$1*$B$2+$B$3*70</f>
        <v>42808</v>
      </c>
      <c r="W23" s="93">
        <f>$B$1*$B$2+$B$3*107</f>
        <v>42845</v>
      </c>
      <c r="X23" s="93">
        <f>$B$1*$B$2+$B$3*152</f>
        <v>42890</v>
      </c>
      <c r="Y23" s="93">
        <f>$B$1*$B$2+$B$3*205</f>
        <v>42943</v>
      </c>
      <c r="Z23" s="93">
        <f>$B$1*$B$2+$B$3*266</f>
        <v>43004</v>
      </c>
      <c r="AA23" s="93">
        <f>$B$1*$B$2+$B$3*335</f>
        <v>43073</v>
      </c>
      <c r="AB23" s="93">
        <f>$B$1*$B$2+$B$3*412</f>
        <v>43150</v>
      </c>
      <c r="AC23" s="93">
        <f>$B$1*$B$2+$B$3*497</f>
        <v>43235</v>
      </c>
      <c r="AD23" s="93">
        <f>$B$1*$B$2+$B$3*590</f>
        <v>43328</v>
      </c>
      <c r="AE23" s="93">
        <f>$B$1*$B$2+$B$3*691</f>
        <v>43429</v>
      </c>
      <c r="AF23" s="93">
        <f>$B$1*$B$2+$B$3*800</f>
        <v>43538</v>
      </c>
      <c r="AG23" s="93">
        <f>$B$1*$B$2+$B$3*917</f>
        <v>43655</v>
      </c>
      <c r="AH23" s="92">
        <f>$B$1*$B$2+$B$3*1042</f>
        <v>43780</v>
      </c>
      <c r="AI23" s="86"/>
      <c r="AJ23" s="86"/>
      <c r="AK23" s="86"/>
      <c r="AL23" s="86"/>
      <c r="AM23" s="86"/>
      <c r="AN23" s="86"/>
      <c r="AO23" s="86"/>
      <c r="AP23" s="86"/>
      <c r="AQ23" s="86"/>
      <c r="AR23" s="86"/>
      <c r="AS23" s="86"/>
      <c r="AT23" s="86"/>
      <c r="AU23" s="86"/>
      <c r="AV23" s="86"/>
      <c r="AW23" s="86"/>
      <c r="AX23" s="86"/>
      <c r="AY23" s="86"/>
      <c r="AZ23" s="86"/>
      <c r="BA23" s="86"/>
      <c r="BB23" s="86"/>
      <c r="BC23" s="86"/>
      <c r="BD23" s="86"/>
      <c r="BE23" s="86"/>
      <c r="BF23" s="86"/>
      <c r="BG23" s="86"/>
      <c r="BH23" s="86"/>
      <c r="BI23" s="86"/>
      <c r="BJ23" s="86"/>
      <c r="BK23" s="86"/>
      <c r="BL23" s="86"/>
      <c r="BM23" s="86"/>
      <c r="BN23" s="86"/>
      <c r="BO23" s="86"/>
      <c r="BP23" s="86"/>
      <c r="BQ23" s="86"/>
      <c r="BR23" s="86"/>
      <c r="BS23" s="86"/>
      <c r="BT23" s="86"/>
      <c r="BU23" s="86"/>
      <c r="BV23" s="86"/>
      <c r="BW23" s="86"/>
      <c r="BX23" s="86"/>
      <c r="BY23" s="86"/>
      <c r="BZ23" s="86"/>
      <c r="CA23" s="86"/>
      <c r="CB23" s="86"/>
      <c r="CC23" s="86"/>
      <c r="CD23" s="86"/>
      <c r="CE23" s="86"/>
      <c r="CF23" s="86"/>
      <c r="CG23" s="86"/>
      <c r="CH23" s="86"/>
      <c r="CI23" s="86"/>
      <c r="CJ23" s="86"/>
      <c r="CK23" s="86"/>
      <c r="CL23" s="86"/>
      <c r="CM23" s="86"/>
      <c r="CN23" s="86"/>
      <c r="CO23" s="86"/>
      <c r="CP23" s="86"/>
      <c r="CQ23" s="86"/>
      <c r="CR23" s="86"/>
      <c r="CS23" s="86"/>
      <c r="CT23" s="86"/>
      <c r="CU23" s="86"/>
      <c r="CV23" s="86"/>
      <c r="CW23" s="86"/>
      <c r="CX23" s="86"/>
      <c r="CY23" s="86"/>
      <c r="CZ23" s="86"/>
      <c r="DA23" s="86"/>
      <c r="DB23" s="86"/>
      <c r="DC23" s="86"/>
      <c r="DD23" s="86"/>
      <c r="DE23" s="86"/>
      <c r="DF23" s="86"/>
      <c r="DG23" s="86"/>
      <c r="DH23" s="86"/>
      <c r="DI23" s="86"/>
      <c r="DJ23" s="86"/>
      <c r="DK23" s="86"/>
      <c r="DL23" s="86"/>
      <c r="DM23" s="86"/>
      <c r="DN23" s="86"/>
      <c r="DO23" s="86"/>
      <c r="DP23" s="86"/>
      <c r="DQ23" s="86"/>
      <c r="DR23" s="86"/>
      <c r="DS23" s="86"/>
      <c r="DT23" s="86"/>
      <c r="DU23" s="86"/>
      <c r="DV23" s="86"/>
      <c r="DW23" s="86"/>
      <c r="DX23" s="86"/>
      <c r="DY23" s="86"/>
      <c r="DZ23" s="86"/>
      <c r="EA23" s="86"/>
      <c r="EB23" s="86"/>
      <c r="EC23" s="86"/>
      <c r="ED23" s="86"/>
      <c r="EE23" s="86"/>
      <c r="EF23" s="86"/>
      <c r="EG23" s="86"/>
      <c r="EH23" s="86"/>
      <c r="EI23" s="86"/>
      <c r="EJ23" s="86"/>
      <c r="EK23" s="86"/>
      <c r="EL23" s="86"/>
      <c r="EM23" s="86"/>
      <c r="EN23" s="86"/>
      <c r="EO23" s="86"/>
      <c r="EP23" s="86"/>
      <c r="EQ23" s="86"/>
      <c r="ER23" s="86"/>
      <c r="ES23" s="86"/>
      <c r="ET23" s="86"/>
      <c r="EU23" s="86"/>
      <c r="EV23" s="86"/>
      <c r="EW23" s="86"/>
      <c r="EX23" s="86"/>
      <c r="EY23" s="86"/>
      <c r="EZ23" s="86"/>
      <c r="FA23" s="86"/>
      <c r="FB23" s="86"/>
      <c r="FC23" s="86"/>
      <c r="FD23" s="86"/>
      <c r="FE23" s="86"/>
      <c r="FF23" s="86"/>
      <c r="FG23" s="86"/>
      <c r="FH23" s="86"/>
      <c r="FI23" s="86"/>
      <c r="FJ23" s="86"/>
      <c r="FK23" s="86"/>
      <c r="FL23" s="86"/>
      <c r="FM23" s="86"/>
      <c r="FN23" s="86"/>
      <c r="FO23" s="86"/>
      <c r="FP23" s="86"/>
      <c r="FQ23" s="86"/>
      <c r="FR23" s="86"/>
      <c r="FS23" s="86"/>
      <c r="FT23" s="86"/>
      <c r="FU23" s="86"/>
      <c r="FV23" s="86"/>
      <c r="FW23" s="86"/>
      <c r="FX23" s="86"/>
      <c r="FY23" s="86"/>
      <c r="FZ23" s="86"/>
      <c r="GA23" s="86"/>
      <c r="GB23" s="86"/>
      <c r="GC23" s="86"/>
      <c r="GD23" s="86"/>
      <c r="GE23" s="86"/>
      <c r="GF23" s="86"/>
      <c r="GG23" s="86"/>
      <c r="GH23" s="86"/>
      <c r="GI23" s="86"/>
      <c r="GJ23" s="86"/>
      <c r="GK23" s="86"/>
      <c r="GL23" s="86"/>
      <c r="GM23" s="86"/>
      <c r="GN23" s="86"/>
      <c r="GO23" s="86"/>
      <c r="GP23" s="86"/>
      <c r="GQ23" s="86"/>
      <c r="GR23" s="86"/>
      <c r="GS23" s="86"/>
      <c r="GT23" s="86"/>
      <c r="GU23" s="86"/>
      <c r="GV23" s="86"/>
      <c r="GW23" s="86"/>
      <c r="GX23" s="86"/>
      <c r="GY23" s="86"/>
      <c r="GZ23" s="86"/>
      <c r="HA23" s="86"/>
      <c r="HB23" s="86"/>
      <c r="HC23" s="86"/>
      <c r="HD23" s="86"/>
      <c r="HE23" s="86"/>
      <c r="HF23" s="86"/>
      <c r="HG23" s="86"/>
      <c r="HH23" s="86"/>
      <c r="HI23" s="86"/>
      <c r="HJ23" s="86"/>
      <c r="HK23" s="86"/>
      <c r="HL23" s="86"/>
      <c r="HM23" s="86"/>
      <c r="HN23" s="86"/>
      <c r="HO23" s="86"/>
      <c r="HP23" s="86"/>
      <c r="HQ23" s="86"/>
      <c r="HR23" s="86"/>
      <c r="HS23" s="86"/>
      <c r="HT23" s="86"/>
      <c r="HU23" s="86"/>
      <c r="HV23" s="86"/>
      <c r="HW23" s="86"/>
      <c r="HX23" s="86"/>
      <c r="HY23" s="86"/>
      <c r="HZ23" s="86"/>
      <c r="IA23" s="86"/>
      <c r="IB23" s="86"/>
      <c r="IC23" s="86"/>
      <c r="ID23" s="86"/>
      <c r="IE23" s="86"/>
      <c r="IF23" s="86"/>
      <c r="IG23" s="86"/>
      <c r="IH23" s="86"/>
      <c r="II23" s="86"/>
      <c r="IJ23" s="86"/>
      <c r="IK23" s="86"/>
      <c r="IL23" s="86"/>
      <c r="IM23" s="86"/>
      <c r="IN23" s="86"/>
      <c r="IO23" s="86"/>
      <c r="IP23" s="86"/>
      <c r="IQ23" s="86"/>
      <c r="IR23" s="86"/>
      <c r="IS23" s="86"/>
      <c r="IT23" s="86"/>
      <c r="IU23" s="86"/>
      <c r="IV23" s="86"/>
      <c r="IW23" s="86"/>
    </row>
    <row r="24" spans="1:257" s="91" customFormat="1" ht="16.2" customHeight="1">
      <c r="A24" s="86"/>
      <c r="B24" s="92">
        <f>$B$1*$B$2+$B$3*973</f>
        <v>43711</v>
      </c>
      <c r="C24" s="92">
        <f>$B$1*$B$2+$B$3*852</f>
        <v>43590</v>
      </c>
      <c r="D24" s="94">
        <f>$B$1*$B$2+$B$3*739</f>
        <v>43477</v>
      </c>
      <c r="E24" s="94">
        <f>$B$1*$B$2+$B$3*634</f>
        <v>43372</v>
      </c>
      <c r="F24" s="94">
        <f>$B$1*$B$2+$B$3*537</f>
        <v>43275</v>
      </c>
      <c r="G24" s="94">
        <f>$B$1*$B$2+$B$3*448</f>
        <v>43186</v>
      </c>
      <c r="H24" s="94">
        <f>$B$1*$B$2+$B$3*367</f>
        <v>43105</v>
      </c>
      <c r="I24" s="94">
        <f>$B$1*$B$2+$B$3*294</f>
        <v>43032</v>
      </c>
      <c r="J24" s="94">
        <f>$B$1*$B$2+$B$3*229</f>
        <v>42967</v>
      </c>
      <c r="K24" s="94">
        <f>$B$1*$B$2+$B$3*172</f>
        <v>42910</v>
      </c>
      <c r="L24" s="100">
        <f>$B$1*$B$2+$B$3*123</f>
        <v>42861</v>
      </c>
      <c r="M24" s="94">
        <f>$B$1*$B$2+$B$3*82</f>
        <v>42820</v>
      </c>
      <c r="N24" s="113">
        <f>$B$1*$B$2+$B$3*49</f>
        <v>42787</v>
      </c>
      <c r="O24" s="109">
        <f>$B$1*$B$2+$B$3*48</f>
        <v>42786</v>
      </c>
      <c r="P24" s="114">
        <f>$B$1*$B$2+$B$3*47</f>
        <v>42785</v>
      </c>
      <c r="Q24" s="114">
        <f>$B$1*$B$2+$B$3*46</f>
        <v>42784</v>
      </c>
      <c r="R24" s="110">
        <f>$B$1*$B$2+$B$3*45</f>
        <v>42783</v>
      </c>
      <c r="S24" s="114">
        <f>$B$1*$B$2+$B$3*44</f>
        <v>42782</v>
      </c>
      <c r="T24" s="114">
        <f>$B$1*$B$2+$B$3*43</f>
        <v>42781</v>
      </c>
      <c r="U24" s="111">
        <f>$B$1*$B$2+$B$3*42</f>
        <v>42780</v>
      </c>
      <c r="V24" s="93">
        <f>$B$1*$B$2+$B$3*71</f>
        <v>42809</v>
      </c>
      <c r="W24" s="93">
        <f>$B$1*$B$2+$B$3*108</f>
        <v>42846</v>
      </c>
      <c r="X24" s="101">
        <f>$B$1*$B$2+$B$3*153</f>
        <v>42891</v>
      </c>
      <c r="Y24" s="93">
        <f>$B$1*$B$2+$B$3*206</f>
        <v>42944</v>
      </c>
      <c r="Z24" s="93">
        <f>$B$1*$B$2+$B$3*267</f>
        <v>43005</v>
      </c>
      <c r="AA24" s="93">
        <f>$B$1*$B$2+$B$3*336</f>
        <v>43074</v>
      </c>
      <c r="AB24" s="93">
        <f>$B$1*$B$2+$B$3*413</f>
        <v>43151</v>
      </c>
      <c r="AC24" s="93">
        <f>$B$1*$B$2+$B$3*498</f>
        <v>43236</v>
      </c>
      <c r="AD24" s="93">
        <f>$B$1*$B$2+$B$3*591</f>
        <v>43329</v>
      </c>
      <c r="AE24" s="93">
        <f>$B$1*$B$2+$B$3*692</f>
        <v>43430</v>
      </c>
      <c r="AF24" s="93">
        <f>$B$1*$B$2+$B$3*801</f>
        <v>43539</v>
      </c>
      <c r="AG24" s="93">
        <f>$B$1*$B$2+$B$3*918</f>
        <v>43656</v>
      </c>
      <c r="AH24" s="92">
        <f>$B$1*$B$2+$B$3*1043</f>
        <v>43781</v>
      </c>
      <c r="AI24" s="86"/>
      <c r="AJ24" s="86"/>
      <c r="AK24" s="86"/>
      <c r="AL24" s="86"/>
      <c r="AM24" s="86"/>
      <c r="AN24" s="86"/>
      <c r="AO24" s="86"/>
      <c r="AP24" s="86"/>
      <c r="AQ24" s="86"/>
      <c r="AR24" s="86"/>
      <c r="AS24" s="86"/>
      <c r="AT24" s="86"/>
      <c r="AU24" s="86"/>
      <c r="AV24" s="86"/>
      <c r="AW24" s="86"/>
      <c r="AX24" s="86"/>
      <c r="AY24" s="86"/>
      <c r="AZ24" s="86"/>
      <c r="BA24" s="86"/>
      <c r="BB24" s="86"/>
      <c r="BC24" s="86"/>
      <c r="BD24" s="86"/>
      <c r="BE24" s="86"/>
      <c r="BF24" s="86"/>
      <c r="BG24" s="86"/>
      <c r="BH24" s="86"/>
      <c r="BI24" s="86"/>
      <c r="BJ24" s="86"/>
      <c r="BK24" s="86"/>
      <c r="BL24" s="86"/>
      <c r="BM24" s="86"/>
      <c r="BN24" s="86"/>
      <c r="BO24" s="86"/>
      <c r="BP24" s="86"/>
      <c r="BQ24" s="86"/>
      <c r="BR24" s="86"/>
      <c r="BS24" s="86"/>
      <c r="BT24" s="86"/>
      <c r="BU24" s="86"/>
      <c r="BV24" s="86"/>
      <c r="BW24" s="86"/>
      <c r="BX24" s="86"/>
      <c r="BY24" s="86"/>
      <c r="BZ24" s="86"/>
      <c r="CA24" s="86"/>
      <c r="CB24" s="86"/>
      <c r="CC24" s="86"/>
      <c r="CD24" s="86"/>
      <c r="CE24" s="86"/>
      <c r="CF24" s="86"/>
      <c r="CG24" s="86"/>
      <c r="CH24" s="86"/>
      <c r="CI24" s="86"/>
      <c r="CJ24" s="86"/>
      <c r="CK24" s="86"/>
      <c r="CL24" s="86"/>
      <c r="CM24" s="86"/>
      <c r="CN24" s="86"/>
      <c r="CO24" s="86"/>
      <c r="CP24" s="86"/>
      <c r="CQ24" s="86"/>
      <c r="CR24" s="86"/>
      <c r="CS24" s="86"/>
      <c r="CT24" s="86"/>
      <c r="CU24" s="86"/>
      <c r="CV24" s="86"/>
      <c r="CW24" s="86"/>
      <c r="CX24" s="86"/>
      <c r="CY24" s="86"/>
      <c r="CZ24" s="86"/>
      <c r="DA24" s="86"/>
      <c r="DB24" s="86"/>
      <c r="DC24" s="86"/>
      <c r="DD24" s="86"/>
      <c r="DE24" s="86"/>
      <c r="DF24" s="86"/>
      <c r="DG24" s="86"/>
      <c r="DH24" s="86"/>
      <c r="DI24" s="86"/>
      <c r="DJ24" s="86"/>
      <c r="DK24" s="86"/>
      <c r="DL24" s="86"/>
      <c r="DM24" s="86"/>
      <c r="DN24" s="86"/>
      <c r="DO24" s="86"/>
      <c r="DP24" s="86"/>
      <c r="DQ24" s="86"/>
      <c r="DR24" s="86"/>
      <c r="DS24" s="86"/>
      <c r="DT24" s="86"/>
      <c r="DU24" s="86"/>
      <c r="DV24" s="86"/>
      <c r="DW24" s="86"/>
      <c r="DX24" s="86"/>
      <c r="DY24" s="86"/>
      <c r="DZ24" s="86"/>
      <c r="EA24" s="86"/>
      <c r="EB24" s="86"/>
      <c r="EC24" s="86"/>
      <c r="ED24" s="86"/>
      <c r="EE24" s="86"/>
      <c r="EF24" s="86"/>
      <c r="EG24" s="86"/>
      <c r="EH24" s="86"/>
      <c r="EI24" s="86"/>
      <c r="EJ24" s="86"/>
      <c r="EK24" s="86"/>
      <c r="EL24" s="86"/>
      <c r="EM24" s="86"/>
      <c r="EN24" s="86"/>
      <c r="EO24" s="86"/>
      <c r="EP24" s="86"/>
      <c r="EQ24" s="86"/>
      <c r="ER24" s="86"/>
      <c r="ES24" s="86"/>
      <c r="ET24" s="86"/>
      <c r="EU24" s="86"/>
      <c r="EV24" s="86"/>
      <c r="EW24" s="86"/>
      <c r="EX24" s="86"/>
      <c r="EY24" s="86"/>
      <c r="EZ24" s="86"/>
      <c r="FA24" s="86"/>
      <c r="FB24" s="86"/>
      <c r="FC24" s="86"/>
      <c r="FD24" s="86"/>
      <c r="FE24" s="86"/>
      <c r="FF24" s="86"/>
      <c r="FG24" s="86"/>
      <c r="FH24" s="86"/>
      <c r="FI24" s="86"/>
      <c r="FJ24" s="86"/>
      <c r="FK24" s="86"/>
      <c r="FL24" s="86"/>
      <c r="FM24" s="86"/>
      <c r="FN24" s="86"/>
      <c r="FO24" s="86"/>
      <c r="FP24" s="86"/>
      <c r="FQ24" s="86"/>
      <c r="FR24" s="86"/>
      <c r="FS24" s="86"/>
      <c r="FT24" s="86"/>
      <c r="FU24" s="86"/>
      <c r="FV24" s="86"/>
      <c r="FW24" s="86"/>
      <c r="FX24" s="86"/>
      <c r="FY24" s="86"/>
      <c r="FZ24" s="86"/>
      <c r="GA24" s="86"/>
      <c r="GB24" s="86"/>
      <c r="GC24" s="86"/>
      <c r="GD24" s="86"/>
      <c r="GE24" s="86"/>
      <c r="GF24" s="86"/>
      <c r="GG24" s="86"/>
      <c r="GH24" s="86"/>
      <c r="GI24" s="86"/>
      <c r="GJ24" s="86"/>
      <c r="GK24" s="86"/>
      <c r="GL24" s="86"/>
      <c r="GM24" s="86"/>
      <c r="GN24" s="86"/>
      <c r="GO24" s="86"/>
      <c r="GP24" s="86"/>
      <c r="GQ24" s="86"/>
      <c r="GR24" s="86"/>
      <c r="GS24" s="86"/>
      <c r="GT24" s="86"/>
      <c r="GU24" s="86"/>
      <c r="GV24" s="86"/>
      <c r="GW24" s="86"/>
      <c r="GX24" s="86"/>
      <c r="GY24" s="86"/>
      <c r="GZ24" s="86"/>
      <c r="HA24" s="86"/>
      <c r="HB24" s="86"/>
      <c r="HC24" s="86"/>
      <c r="HD24" s="86"/>
      <c r="HE24" s="86"/>
      <c r="HF24" s="86"/>
      <c r="HG24" s="86"/>
      <c r="HH24" s="86"/>
      <c r="HI24" s="86"/>
      <c r="HJ24" s="86"/>
      <c r="HK24" s="86"/>
      <c r="HL24" s="86"/>
      <c r="HM24" s="86"/>
      <c r="HN24" s="86"/>
      <c r="HO24" s="86"/>
      <c r="HP24" s="86"/>
      <c r="HQ24" s="86"/>
      <c r="HR24" s="86"/>
      <c r="HS24" s="86"/>
      <c r="HT24" s="86"/>
      <c r="HU24" s="86"/>
      <c r="HV24" s="86"/>
      <c r="HW24" s="86"/>
      <c r="HX24" s="86"/>
      <c r="HY24" s="86"/>
      <c r="HZ24" s="86"/>
      <c r="IA24" s="86"/>
      <c r="IB24" s="86"/>
      <c r="IC24" s="86"/>
      <c r="ID24" s="86"/>
      <c r="IE24" s="86"/>
      <c r="IF24" s="86"/>
      <c r="IG24" s="86"/>
      <c r="IH24" s="86"/>
      <c r="II24" s="86"/>
      <c r="IJ24" s="86"/>
      <c r="IK24" s="86"/>
      <c r="IL24" s="86"/>
      <c r="IM24" s="86"/>
      <c r="IN24" s="86"/>
      <c r="IO24" s="86"/>
      <c r="IP24" s="86"/>
      <c r="IQ24" s="86"/>
      <c r="IR24" s="86"/>
      <c r="IS24" s="86"/>
      <c r="IT24" s="86"/>
      <c r="IU24" s="86"/>
      <c r="IV24" s="86"/>
      <c r="IW24" s="86"/>
    </row>
    <row r="25" spans="1:257" s="91" customFormat="1" ht="16.2" customHeight="1">
      <c r="A25" s="86"/>
      <c r="B25" s="92">
        <f>$B$1*$B$2+$B$3*972</f>
        <v>43710</v>
      </c>
      <c r="C25" s="92">
        <f>$B$1*$B$2+$B$3*851</f>
        <v>43589</v>
      </c>
      <c r="D25" s="94">
        <f>$B$1*$B$2+$B$3*738</f>
        <v>43476</v>
      </c>
      <c r="E25" s="94">
        <f>$B$1*$B$2+$B$3*633</f>
        <v>43371</v>
      </c>
      <c r="F25" s="94">
        <f>$B$1*$B$2+$B$3*536</f>
        <v>43274</v>
      </c>
      <c r="G25" s="94">
        <f>$B$1*$B$2+$B$3*447</f>
        <v>43185</v>
      </c>
      <c r="H25" s="94">
        <f>$B$1*$B$2+$B$3*366</f>
        <v>43104</v>
      </c>
      <c r="I25" s="94">
        <f>$B$1*$B$2+$B$3*293</f>
        <v>43031</v>
      </c>
      <c r="J25" s="100">
        <f>$B$1*$B$2+$B$3*228</f>
        <v>42966</v>
      </c>
      <c r="K25" s="94">
        <f>$B$1*$B$2+$B$3*171</f>
        <v>42909</v>
      </c>
      <c r="L25" s="94">
        <f>$B$1*$B$2+$B$3*122</f>
        <v>42860</v>
      </c>
      <c r="M25" s="113">
        <f>$B$1*$B$2+$B$3*81</f>
        <v>42819</v>
      </c>
      <c r="N25" s="109">
        <f>$B$1*$B$2+$B$3*80</f>
        <v>42818</v>
      </c>
      <c r="O25" s="114">
        <f>$B$1*$B$2+$B$3*79</f>
        <v>42817</v>
      </c>
      <c r="P25" s="110">
        <f>$B$1*$B$2+$B$3*78</f>
        <v>42816</v>
      </c>
      <c r="Q25" s="114">
        <f>$B$1*$B$2+$B$3*77</f>
        <v>42815</v>
      </c>
      <c r="R25" s="110">
        <f>$B$1*$B$2+$B$3*76</f>
        <v>42814</v>
      </c>
      <c r="S25" s="114">
        <f>$B$1*$B$2+$B$3*75</f>
        <v>42813</v>
      </c>
      <c r="T25" s="110">
        <f>$B$1*$B$2+$B$3*74</f>
        <v>42812</v>
      </c>
      <c r="U25" s="114">
        <f>$B$1*$B$2+$B$3*73</f>
        <v>42811</v>
      </c>
      <c r="V25" s="111">
        <f>$B$1*$B$2+$B$3*72</f>
        <v>42810</v>
      </c>
      <c r="W25" s="93">
        <f>$B$1*$B$2+$B$3*109</f>
        <v>42847</v>
      </c>
      <c r="X25" s="93">
        <f>$B$1*$B$2+$B$3*154</f>
        <v>42892</v>
      </c>
      <c r="Y25" s="93">
        <f>$B$1*$B$2+$B$3*207</f>
        <v>42945</v>
      </c>
      <c r="Z25" s="101">
        <f>$B$1*$B$2+$B$3*268</f>
        <v>43006</v>
      </c>
      <c r="AA25" s="93">
        <f>$B$1*$B$2+$B$3*337</f>
        <v>43075</v>
      </c>
      <c r="AB25" s="93">
        <f>$B$1*$B$2+$B$3*414</f>
        <v>43152</v>
      </c>
      <c r="AC25" s="93">
        <f>$B$1*$B$2+$B$3*499</f>
        <v>43237</v>
      </c>
      <c r="AD25" s="93">
        <f>$B$1*$B$2+$B$3*592</f>
        <v>43330</v>
      </c>
      <c r="AE25" s="93">
        <f>$B$1*$B$2+$B$3*693</f>
        <v>43431</v>
      </c>
      <c r="AF25" s="93">
        <f>$B$1*$B$2+$B$3*802</f>
        <v>43540</v>
      </c>
      <c r="AG25" s="93">
        <f>$B$1*$B$2+$B$3*919</f>
        <v>43657</v>
      </c>
      <c r="AH25" s="92">
        <f>$B$1*$B$2+$B$3*1044</f>
        <v>43782</v>
      </c>
      <c r="AI25" s="86"/>
      <c r="AJ25" s="86"/>
      <c r="AK25" s="86"/>
      <c r="AL25" s="86"/>
      <c r="AM25" s="86"/>
      <c r="AN25" s="86"/>
      <c r="AO25" s="86"/>
      <c r="AP25" s="86"/>
      <c r="AQ25" s="86"/>
      <c r="AR25" s="86"/>
      <c r="AS25" s="86"/>
      <c r="AT25" s="86"/>
      <c r="AU25" s="86"/>
      <c r="AV25" s="86"/>
      <c r="AW25" s="86"/>
      <c r="AX25" s="86"/>
      <c r="AY25" s="86"/>
      <c r="AZ25" s="86"/>
      <c r="BA25" s="86"/>
      <c r="BB25" s="86"/>
      <c r="BC25" s="86"/>
      <c r="BD25" s="86"/>
      <c r="BE25" s="86"/>
      <c r="BF25" s="86"/>
      <c r="BG25" s="86"/>
      <c r="BH25" s="86"/>
      <c r="BI25" s="86"/>
      <c r="BJ25" s="86"/>
      <c r="BK25" s="86"/>
      <c r="BL25" s="86"/>
      <c r="BM25" s="86"/>
      <c r="BN25" s="86"/>
      <c r="BO25" s="86"/>
      <c r="BP25" s="86"/>
      <c r="BQ25" s="86"/>
      <c r="BR25" s="86"/>
      <c r="BS25" s="86"/>
      <c r="BT25" s="86"/>
      <c r="BU25" s="86"/>
      <c r="BV25" s="86"/>
      <c r="BW25" s="86"/>
      <c r="BX25" s="86"/>
      <c r="BY25" s="86"/>
      <c r="BZ25" s="86"/>
      <c r="CA25" s="86"/>
      <c r="CB25" s="86"/>
      <c r="CC25" s="86"/>
      <c r="CD25" s="86"/>
      <c r="CE25" s="86"/>
      <c r="CF25" s="86"/>
      <c r="CG25" s="86"/>
      <c r="CH25" s="86"/>
      <c r="CI25" s="86"/>
      <c r="CJ25" s="86"/>
      <c r="CK25" s="86"/>
      <c r="CL25" s="86"/>
      <c r="CM25" s="86"/>
      <c r="CN25" s="86"/>
      <c r="CO25" s="86"/>
      <c r="CP25" s="86"/>
      <c r="CQ25" s="86"/>
      <c r="CR25" s="86"/>
      <c r="CS25" s="86"/>
      <c r="CT25" s="86"/>
      <c r="CU25" s="86"/>
      <c r="CV25" s="86"/>
      <c r="CW25" s="86"/>
      <c r="CX25" s="86"/>
      <c r="CY25" s="86"/>
      <c r="CZ25" s="86"/>
      <c r="DA25" s="86"/>
      <c r="DB25" s="86"/>
      <c r="DC25" s="86"/>
      <c r="DD25" s="86"/>
      <c r="DE25" s="86"/>
      <c r="DF25" s="86"/>
      <c r="DG25" s="86"/>
      <c r="DH25" s="86"/>
      <c r="DI25" s="86"/>
      <c r="DJ25" s="86"/>
      <c r="DK25" s="86"/>
      <c r="DL25" s="86"/>
      <c r="DM25" s="86"/>
      <c r="DN25" s="86"/>
      <c r="DO25" s="86"/>
      <c r="DP25" s="86"/>
      <c r="DQ25" s="86"/>
      <c r="DR25" s="86"/>
      <c r="DS25" s="86"/>
      <c r="DT25" s="86"/>
      <c r="DU25" s="86"/>
      <c r="DV25" s="86"/>
      <c r="DW25" s="86"/>
      <c r="DX25" s="86"/>
      <c r="DY25" s="86"/>
      <c r="DZ25" s="86"/>
      <c r="EA25" s="86"/>
      <c r="EB25" s="86"/>
      <c r="EC25" s="86"/>
      <c r="ED25" s="86"/>
      <c r="EE25" s="86"/>
      <c r="EF25" s="86"/>
      <c r="EG25" s="86"/>
      <c r="EH25" s="86"/>
      <c r="EI25" s="86"/>
      <c r="EJ25" s="86"/>
      <c r="EK25" s="86"/>
      <c r="EL25" s="86"/>
      <c r="EM25" s="86"/>
      <c r="EN25" s="86"/>
      <c r="EO25" s="86"/>
      <c r="EP25" s="86"/>
      <c r="EQ25" s="86"/>
      <c r="ER25" s="86"/>
      <c r="ES25" s="86"/>
      <c r="ET25" s="86"/>
      <c r="EU25" s="86"/>
      <c r="EV25" s="86"/>
      <c r="EW25" s="86"/>
      <c r="EX25" s="86"/>
      <c r="EY25" s="86"/>
      <c r="EZ25" s="86"/>
      <c r="FA25" s="86"/>
      <c r="FB25" s="86"/>
      <c r="FC25" s="86"/>
      <c r="FD25" s="86"/>
      <c r="FE25" s="86"/>
      <c r="FF25" s="86"/>
      <c r="FG25" s="86"/>
      <c r="FH25" s="86"/>
      <c r="FI25" s="86"/>
      <c r="FJ25" s="86"/>
      <c r="FK25" s="86"/>
      <c r="FL25" s="86"/>
      <c r="FM25" s="86"/>
      <c r="FN25" s="86"/>
      <c r="FO25" s="86"/>
      <c r="FP25" s="86"/>
      <c r="FQ25" s="86"/>
      <c r="FR25" s="86"/>
      <c r="FS25" s="86"/>
      <c r="FT25" s="86"/>
      <c r="FU25" s="86"/>
      <c r="FV25" s="86"/>
      <c r="FW25" s="86"/>
      <c r="FX25" s="86"/>
      <c r="FY25" s="86"/>
      <c r="FZ25" s="86"/>
      <c r="GA25" s="86"/>
      <c r="GB25" s="86"/>
      <c r="GC25" s="86"/>
      <c r="GD25" s="86"/>
      <c r="GE25" s="86"/>
      <c r="GF25" s="86"/>
      <c r="GG25" s="86"/>
      <c r="GH25" s="86"/>
      <c r="GI25" s="86"/>
      <c r="GJ25" s="86"/>
      <c r="GK25" s="86"/>
      <c r="GL25" s="86"/>
      <c r="GM25" s="86"/>
      <c r="GN25" s="86"/>
      <c r="GO25" s="86"/>
      <c r="GP25" s="86"/>
      <c r="GQ25" s="86"/>
      <c r="GR25" s="86"/>
      <c r="GS25" s="86"/>
      <c r="GT25" s="86"/>
      <c r="GU25" s="86"/>
      <c r="GV25" s="86"/>
      <c r="GW25" s="86"/>
      <c r="GX25" s="86"/>
      <c r="GY25" s="86"/>
      <c r="GZ25" s="86"/>
      <c r="HA25" s="86"/>
      <c r="HB25" s="86"/>
      <c r="HC25" s="86"/>
      <c r="HD25" s="86"/>
      <c r="HE25" s="86"/>
      <c r="HF25" s="86"/>
      <c r="HG25" s="86"/>
      <c r="HH25" s="86"/>
      <c r="HI25" s="86"/>
      <c r="HJ25" s="86"/>
      <c r="HK25" s="86"/>
      <c r="HL25" s="86"/>
      <c r="HM25" s="86"/>
      <c r="HN25" s="86"/>
      <c r="HO25" s="86"/>
      <c r="HP25" s="86"/>
      <c r="HQ25" s="86"/>
      <c r="HR25" s="86"/>
      <c r="HS25" s="86"/>
      <c r="HT25" s="86"/>
      <c r="HU25" s="86"/>
      <c r="HV25" s="86"/>
      <c r="HW25" s="86"/>
      <c r="HX25" s="86"/>
      <c r="HY25" s="86"/>
      <c r="HZ25" s="86"/>
      <c r="IA25" s="86"/>
      <c r="IB25" s="86"/>
      <c r="IC25" s="86"/>
      <c r="ID25" s="86"/>
      <c r="IE25" s="86"/>
      <c r="IF25" s="86"/>
      <c r="IG25" s="86"/>
      <c r="IH25" s="86"/>
      <c r="II25" s="86"/>
      <c r="IJ25" s="86"/>
      <c r="IK25" s="86"/>
      <c r="IL25" s="86"/>
      <c r="IM25" s="86"/>
      <c r="IN25" s="86"/>
      <c r="IO25" s="86"/>
      <c r="IP25" s="86"/>
      <c r="IQ25" s="86"/>
      <c r="IR25" s="86"/>
      <c r="IS25" s="86"/>
      <c r="IT25" s="86"/>
      <c r="IU25" s="86"/>
      <c r="IV25" s="86"/>
      <c r="IW25" s="86"/>
    </row>
    <row r="26" spans="1:257" s="91" customFormat="1" ht="16.2" customHeight="1">
      <c r="A26" s="86"/>
      <c r="B26" s="92">
        <f>$B$1*$B$2+$B$3*971</f>
        <v>43709</v>
      </c>
      <c r="C26" s="92">
        <f>$B$1*$B$2+$B$3*850</f>
        <v>43588</v>
      </c>
      <c r="D26" s="94">
        <f>$B$1*$B$2+$B$3*737</f>
        <v>43475</v>
      </c>
      <c r="E26" s="94">
        <f>$B$1*$B$2+$B$3*632</f>
        <v>43370</v>
      </c>
      <c r="F26" s="94">
        <f>$B$1*$B$2+$B$3*535</f>
        <v>43273</v>
      </c>
      <c r="G26" s="94">
        <f>$B$1*$B$2+$B$3*446</f>
        <v>43184</v>
      </c>
      <c r="H26" s="100">
        <f>$B$1*$B$2+$B$3*365</f>
        <v>43103</v>
      </c>
      <c r="I26" s="94">
        <f>$B$1*$B$2+$B$3*292</f>
        <v>43030</v>
      </c>
      <c r="J26" s="94">
        <f>$B$1*$B$2+$B$3*227</f>
        <v>42965</v>
      </c>
      <c r="K26" s="94">
        <f>$B$1*$B$2+$B$3*170</f>
        <v>42908</v>
      </c>
      <c r="L26" s="113">
        <f>$B$1*$B$2+$B$3*121</f>
        <v>42859</v>
      </c>
      <c r="M26" s="109">
        <f>$B$1*$B$2+$B$3*120</f>
        <v>42858</v>
      </c>
      <c r="N26" s="114">
        <f>$B$1*$B$2+$B$3*119</f>
        <v>42857</v>
      </c>
      <c r="O26" s="114">
        <f>$B$1*$B$2+$B$3*118</f>
        <v>42856</v>
      </c>
      <c r="P26" s="114">
        <f>$B$1*$B$2+$B$3*117</f>
        <v>42855</v>
      </c>
      <c r="Q26" s="114">
        <f>$B$1*$B$2+$B$3*116</f>
        <v>42854</v>
      </c>
      <c r="R26" s="110">
        <f>$B$1*$B$2+$B$3*115</f>
        <v>42853</v>
      </c>
      <c r="S26" s="114">
        <f>$B$1*$B$2+$B$3*114</f>
        <v>42852</v>
      </c>
      <c r="T26" s="114">
        <f>$B$1*$B$2+$B$3*113</f>
        <v>42851</v>
      </c>
      <c r="U26" s="114">
        <f>$B$1*$B$2+$B$3*112</f>
        <v>42850</v>
      </c>
      <c r="V26" s="114">
        <f>$B$1*$B$2+$B$3*111</f>
        <v>42849</v>
      </c>
      <c r="W26" s="111">
        <f>$B$1*$B$2+$B$3*110</f>
        <v>42848</v>
      </c>
      <c r="X26" s="93">
        <f>$B$1*$B$2+$B$3*155</f>
        <v>42893</v>
      </c>
      <c r="Y26" s="93">
        <f>$B$1*$B$2+$B$3*208</f>
        <v>42946</v>
      </c>
      <c r="Z26" s="93">
        <f>$B$1*$B$2+$B$3*269</f>
        <v>43007</v>
      </c>
      <c r="AA26" s="93">
        <f>$B$1*$B$2+$B$3*338</f>
        <v>43076</v>
      </c>
      <c r="AB26" s="101">
        <f>$B$1*$B$2+$B$3*415</f>
        <v>43153</v>
      </c>
      <c r="AC26" s="93">
        <f>$B$1*$B$2+$B$3*500</f>
        <v>43238</v>
      </c>
      <c r="AD26" s="93">
        <f>$B$1*$B$2+$B$3*593</f>
        <v>43331</v>
      </c>
      <c r="AE26" s="93">
        <f>$B$1*$B$2+$B$3*694</f>
        <v>43432</v>
      </c>
      <c r="AF26" s="93">
        <f>$B$1*$B$2+$B$3*803</f>
        <v>43541</v>
      </c>
      <c r="AG26" s="93">
        <f>$B$1*$B$2+$B$3*920</f>
        <v>43658</v>
      </c>
      <c r="AH26" s="92">
        <f>$B$1*$B$2+$B$3*1045</f>
        <v>43783</v>
      </c>
      <c r="AI26" s="86"/>
      <c r="AJ26" s="86"/>
      <c r="AK26" s="86"/>
      <c r="AL26" s="86"/>
      <c r="AM26" s="86"/>
      <c r="AN26" s="86"/>
      <c r="AO26" s="86"/>
      <c r="AP26" s="86"/>
      <c r="AQ26" s="86"/>
      <c r="AR26" s="86"/>
      <c r="AS26" s="86"/>
      <c r="AT26" s="86"/>
      <c r="AU26" s="86"/>
      <c r="AV26" s="86"/>
      <c r="AW26" s="86"/>
      <c r="AX26" s="86"/>
      <c r="AY26" s="86"/>
      <c r="AZ26" s="86"/>
      <c r="BA26" s="86"/>
      <c r="BB26" s="86"/>
      <c r="BC26" s="86"/>
      <c r="BD26" s="86"/>
      <c r="BE26" s="86"/>
      <c r="BF26" s="86"/>
      <c r="BG26" s="86"/>
      <c r="BH26" s="86"/>
      <c r="BI26" s="86"/>
      <c r="BJ26" s="86"/>
      <c r="BK26" s="86"/>
      <c r="BL26" s="86"/>
      <c r="BM26" s="86"/>
      <c r="BN26" s="86"/>
      <c r="BO26" s="86"/>
      <c r="BP26" s="86"/>
      <c r="BQ26" s="86"/>
      <c r="BR26" s="86"/>
      <c r="BS26" s="86"/>
      <c r="BT26" s="86"/>
      <c r="BU26" s="86"/>
      <c r="BV26" s="86"/>
      <c r="BW26" s="86"/>
      <c r="BX26" s="86"/>
      <c r="BY26" s="86"/>
      <c r="BZ26" s="86"/>
      <c r="CA26" s="86"/>
      <c r="CB26" s="86"/>
      <c r="CC26" s="86"/>
      <c r="CD26" s="86"/>
      <c r="CE26" s="86"/>
      <c r="CF26" s="86"/>
      <c r="CG26" s="86"/>
      <c r="CH26" s="86"/>
      <c r="CI26" s="86"/>
      <c r="CJ26" s="86"/>
      <c r="CK26" s="86"/>
      <c r="CL26" s="86"/>
      <c r="CM26" s="86"/>
      <c r="CN26" s="86"/>
      <c r="CO26" s="86"/>
      <c r="CP26" s="86"/>
      <c r="CQ26" s="86"/>
      <c r="CR26" s="86"/>
      <c r="CS26" s="86"/>
      <c r="CT26" s="86"/>
      <c r="CU26" s="86"/>
      <c r="CV26" s="86"/>
      <c r="CW26" s="86"/>
      <c r="CX26" s="86"/>
      <c r="CY26" s="86"/>
      <c r="CZ26" s="86"/>
      <c r="DA26" s="86"/>
      <c r="DB26" s="86"/>
      <c r="DC26" s="86"/>
      <c r="DD26" s="86"/>
      <c r="DE26" s="86"/>
      <c r="DF26" s="86"/>
      <c r="DG26" s="86"/>
      <c r="DH26" s="86"/>
      <c r="DI26" s="86"/>
      <c r="DJ26" s="86"/>
      <c r="DK26" s="86"/>
      <c r="DL26" s="86"/>
      <c r="DM26" s="86"/>
      <c r="DN26" s="86"/>
      <c r="DO26" s="86"/>
      <c r="DP26" s="86"/>
      <c r="DQ26" s="86"/>
      <c r="DR26" s="86"/>
      <c r="DS26" s="86"/>
      <c r="DT26" s="86"/>
      <c r="DU26" s="86"/>
      <c r="DV26" s="86"/>
      <c r="DW26" s="86"/>
      <c r="DX26" s="86"/>
      <c r="DY26" s="86"/>
      <c r="DZ26" s="86"/>
      <c r="EA26" s="86"/>
      <c r="EB26" s="86"/>
      <c r="EC26" s="86"/>
      <c r="ED26" s="86"/>
      <c r="EE26" s="86"/>
      <c r="EF26" s="86"/>
      <c r="EG26" s="86"/>
      <c r="EH26" s="86"/>
      <c r="EI26" s="86"/>
      <c r="EJ26" s="86"/>
      <c r="EK26" s="86"/>
      <c r="EL26" s="86"/>
      <c r="EM26" s="86"/>
      <c r="EN26" s="86"/>
      <c r="EO26" s="86"/>
      <c r="EP26" s="86"/>
      <c r="EQ26" s="86"/>
      <c r="ER26" s="86"/>
      <c r="ES26" s="86"/>
      <c r="ET26" s="86"/>
      <c r="EU26" s="86"/>
      <c r="EV26" s="86"/>
      <c r="EW26" s="86"/>
      <c r="EX26" s="86"/>
      <c r="EY26" s="86"/>
      <c r="EZ26" s="86"/>
      <c r="FA26" s="86"/>
      <c r="FB26" s="86"/>
      <c r="FC26" s="86"/>
      <c r="FD26" s="86"/>
      <c r="FE26" s="86"/>
      <c r="FF26" s="86"/>
      <c r="FG26" s="86"/>
      <c r="FH26" s="86"/>
      <c r="FI26" s="86"/>
      <c r="FJ26" s="86"/>
      <c r="FK26" s="86"/>
      <c r="FL26" s="86"/>
      <c r="FM26" s="86"/>
      <c r="FN26" s="86"/>
      <c r="FO26" s="86"/>
      <c r="FP26" s="86"/>
      <c r="FQ26" s="86"/>
      <c r="FR26" s="86"/>
      <c r="FS26" s="86"/>
      <c r="FT26" s="86"/>
      <c r="FU26" s="86"/>
      <c r="FV26" s="86"/>
      <c r="FW26" s="86"/>
      <c r="FX26" s="86"/>
      <c r="FY26" s="86"/>
      <c r="FZ26" s="86"/>
      <c r="GA26" s="86"/>
      <c r="GB26" s="86"/>
      <c r="GC26" s="86"/>
      <c r="GD26" s="86"/>
      <c r="GE26" s="86"/>
      <c r="GF26" s="86"/>
      <c r="GG26" s="86"/>
      <c r="GH26" s="86"/>
      <c r="GI26" s="86"/>
      <c r="GJ26" s="86"/>
      <c r="GK26" s="86"/>
      <c r="GL26" s="86"/>
      <c r="GM26" s="86"/>
      <c r="GN26" s="86"/>
      <c r="GO26" s="86"/>
      <c r="GP26" s="86"/>
      <c r="GQ26" s="86"/>
      <c r="GR26" s="86"/>
      <c r="GS26" s="86"/>
      <c r="GT26" s="86"/>
      <c r="GU26" s="86"/>
      <c r="GV26" s="86"/>
      <c r="GW26" s="86"/>
      <c r="GX26" s="86"/>
      <c r="GY26" s="86"/>
      <c r="GZ26" s="86"/>
      <c r="HA26" s="86"/>
      <c r="HB26" s="86"/>
      <c r="HC26" s="86"/>
      <c r="HD26" s="86"/>
      <c r="HE26" s="86"/>
      <c r="HF26" s="86"/>
      <c r="HG26" s="86"/>
      <c r="HH26" s="86"/>
      <c r="HI26" s="86"/>
      <c r="HJ26" s="86"/>
      <c r="HK26" s="86"/>
      <c r="HL26" s="86"/>
      <c r="HM26" s="86"/>
      <c r="HN26" s="86"/>
      <c r="HO26" s="86"/>
      <c r="HP26" s="86"/>
      <c r="HQ26" s="86"/>
      <c r="HR26" s="86"/>
      <c r="HS26" s="86"/>
      <c r="HT26" s="86"/>
      <c r="HU26" s="86"/>
      <c r="HV26" s="86"/>
      <c r="HW26" s="86"/>
      <c r="HX26" s="86"/>
      <c r="HY26" s="86"/>
      <c r="HZ26" s="86"/>
      <c r="IA26" s="86"/>
      <c r="IB26" s="86"/>
      <c r="IC26" s="86"/>
      <c r="ID26" s="86"/>
      <c r="IE26" s="86"/>
      <c r="IF26" s="86"/>
      <c r="IG26" s="86"/>
      <c r="IH26" s="86"/>
      <c r="II26" s="86"/>
      <c r="IJ26" s="86"/>
      <c r="IK26" s="86"/>
      <c r="IL26" s="86"/>
      <c r="IM26" s="86"/>
      <c r="IN26" s="86"/>
      <c r="IO26" s="86"/>
      <c r="IP26" s="86"/>
      <c r="IQ26" s="86"/>
      <c r="IR26" s="86"/>
      <c r="IS26" s="86"/>
      <c r="IT26" s="86"/>
      <c r="IU26" s="86"/>
      <c r="IV26" s="86"/>
      <c r="IW26" s="86"/>
    </row>
    <row r="27" spans="1:257" s="91" customFormat="1" ht="16.2" customHeight="1">
      <c r="A27" s="86"/>
      <c r="B27" s="92">
        <f>$B$1*$B$2+$B$3*970</f>
        <v>43708</v>
      </c>
      <c r="C27" s="92">
        <f>$B$1*$B$2+$B$3*849</f>
        <v>43587</v>
      </c>
      <c r="D27" s="94">
        <f>$B$1*$B$2+$B$3*736</f>
        <v>43474</v>
      </c>
      <c r="E27" s="94">
        <f>$B$1*$B$2+$B$3*631</f>
        <v>43369</v>
      </c>
      <c r="F27" s="100">
        <f>$B$1*$B$2+$B$3*534</f>
        <v>43272</v>
      </c>
      <c r="G27" s="94">
        <f>$B$1*$B$2+$B$3*445</f>
        <v>43183</v>
      </c>
      <c r="H27" s="94">
        <f>$B$1*$B$2+$B$3*364</f>
        <v>43102</v>
      </c>
      <c r="I27" s="94">
        <f>$B$1*$B$2+$B$3*291</f>
        <v>43029</v>
      </c>
      <c r="J27" s="94">
        <f>$B$1*$B$2+$B$3*226</f>
        <v>42964</v>
      </c>
      <c r="K27" s="113">
        <f>$B$1*$B$2+$B$3*169</f>
        <v>42907</v>
      </c>
      <c r="L27" s="109">
        <f>$B$1*$B$2+$B$3*168</f>
        <v>42906</v>
      </c>
      <c r="M27" s="114">
        <f>$B$1*$B$2+$B$3*167</f>
        <v>42905</v>
      </c>
      <c r="N27" s="114">
        <f>$B$1*$B$2+$B$3*166</f>
        <v>42904</v>
      </c>
      <c r="O27" s="110">
        <f>$B$1*$B$2+$B$3*165</f>
        <v>42903</v>
      </c>
      <c r="P27" s="114">
        <f>$B$1*$B$2+$B$3*164</f>
        <v>42902</v>
      </c>
      <c r="Q27" s="114">
        <f>$B$1*$B$2+$B$3*163</f>
        <v>42901</v>
      </c>
      <c r="R27" s="110">
        <f>$B$1*$B$2+$B$3*162</f>
        <v>42900</v>
      </c>
      <c r="S27" s="114">
        <f>$B$1*$B$2+$B$3*161</f>
        <v>42899</v>
      </c>
      <c r="T27" s="114">
        <f>$B$1*$B$2+$B$3*160</f>
        <v>42898</v>
      </c>
      <c r="U27" s="110">
        <f>$B$1*$B$2+$B$3*159</f>
        <v>42897</v>
      </c>
      <c r="V27" s="114">
        <f>$B$1*$B$2+$B$3*158</f>
        <v>42896</v>
      </c>
      <c r="W27" s="114">
        <f>$B$1*$B$2+$B$3*157</f>
        <v>42895</v>
      </c>
      <c r="X27" s="111">
        <f>$B$1*$B$2+$B$3*156</f>
        <v>42894</v>
      </c>
      <c r="Y27" s="93">
        <f>$B$1*$B$2+$B$3*209</f>
        <v>42947</v>
      </c>
      <c r="Z27" s="93">
        <f>$B$1*$B$2+$B$3*270</f>
        <v>43008</v>
      </c>
      <c r="AA27" s="93">
        <f>$B$1*$B$2+$B$3*339</f>
        <v>43077</v>
      </c>
      <c r="AB27" s="93">
        <f>$B$1*$B$2+$B$3*416</f>
        <v>43154</v>
      </c>
      <c r="AC27" s="93">
        <f>$B$1*$B$2+$B$3*501</f>
        <v>43239</v>
      </c>
      <c r="AD27" s="101">
        <f>$B$1*$B$2+$B$3*594</f>
        <v>43332</v>
      </c>
      <c r="AE27" s="93">
        <f>$B$1*$B$2+$B$3*695</f>
        <v>43433</v>
      </c>
      <c r="AF27" s="93">
        <f>$B$1*$B$2+$B$3*804</f>
        <v>43542</v>
      </c>
      <c r="AG27" s="93">
        <f>$B$1*$B$2+$B$3*921</f>
        <v>43659</v>
      </c>
      <c r="AH27" s="92">
        <f>$B$1*$B$2+$B$3*1046</f>
        <v>43784</v>
      </c>
      <c r="AI27" s="86"/>
      <c r="AJ27" s="86"/>
      <c r="AK27" s="86"/>
      <c r="AL27" s="86"/>
      <c r="AM27" s="86"/>
      <c r="AN27" s="86"/>
      <c r="AO27" s="86"/>
      <c r="AP27" s="86"/>
      <c r="AQ27" s="86"/>
      <c r="AR27" s="86"/>
      <c r="AS27" s="86"/>
      <c r="AT27" s="86"/>
      <c r="AU27" s="86"/>
      <c r="AV27" s="86"/>
      <c r="AW27" s="86"/>
      <c r="AX27" s="86"/>
      <c r="AY27" s="86"/>
      <c r="AZ27" s="86"/>
      <c r="BA27" s="86"/>
      <c r="BB27" s="86"/>
      <c r="BC27" s="86"/>
      <c r="BD27" s="86"/>
      <c r="BE27" s="86"/>
      <c r="BF27" s="86"/>
      <c r="BG27" s="86"/>
      <c r="BH27" s="86"/>
      <c r="BI27" s="86"/>
      <c r="BJ27" s="86"/>
      <c r="BK27" s="86"/>
      <c r="BL27" s="86"/>
      <c r="BM27" s="86"/>
      <c r="BN27" s="86"/>
      <c r="BO27" s="86"/>
      <c r="BP27" s="86"/>
      <c r="BQ27" s="86"/>
      <c r="BR27" s="86"/>
      <c r="BS27" s="86"/>
      <c r="BT27" s="86"/>
      <c r="BU27" s="86"/>
      <c r="BV27" s="86"/>
      <c r="BW27" s="86"/>
      <c r="BX27" s="86"/>
      <c r="BY27" s="86"/>
      <c r="BZ27" s="86"/>
      <c r="CA27" s="86"/>
      <c r="CB27" s="86"/>
      <c r="CC27" s="86"/>
      <c r="CD27" s="86"/>
      <c r="CE27" s="86"/>
      <c r="CF27" s="86"/>
      <c r="CG27" s="86"/>
      <c r="CH27" s="86"/>
      <c r="CI27" s="86"/>
      <c r="CJ27" s="86"/>
      <c r="CK27" s="86"/>
      <c r="CL27" s="86"/>
      <c r="CM27" s="86"/>
      <c r="CN27" s="86"/>
      <c r="CO27" s="86"/>
      <c r="CP27" s="86"/>
      <c r="CQ27" s="86"/>
      <c r="CR27" s="86"/>
      <c r="CS27" s="86"/>
      <c r="CT27" s="86"/>
      <c r="CU27" s="86"/>
      <c r="CV27" s="86"/>
      <c r="CW27" s="86"/>
      <c r="CX27" s="86"/>
      <c r="CY27" s="86"/>
      <c r="CZ27" s="86"/>
      <c r="DA27" s="86"/>
      <c r="DB27" s="86"/>
      <c r="DC27" s="86"/>
      <c r="DD27" s="86"/>
      <c r="DE27" s="86"/>
      <c r="DF27" s="86"/>
      <c r="DG27" s="86"/>
      <c r="DH27" s="86"/>
      <c r="DI27" s="86"/>
      <c r="DJ27" s="86"/>
      <c r="DK27" s="86"/>
      <c r="DL27" s="86"/>
      <c r="DM27" s="86"/>
      <c r="DN27" s="86"/>
      <c r="DO27" s="86"/>
      <c r="DP27" s="86"/>
      <c r="DQ27" s="86"/>
      <c r="DR27" s="86"/>
      <c r="DS27" s="86"/>
      <c r="DT27" s="86"/>
      <c r="DU27" s="86"/>
      <c r="DV27" s="86"/>
      <c r="DW27" s="86"/>
      <c r="DX27" s="86"/>
      <c r="DY27" s="86"/>
      <c r="DZ27" s="86"/>
      <c r="EA27" s="86"/>
      <c r="EB27" s="86"/>
      <c r="EC27" s="86"/>
      <c r="ED27" s="86"/>
      <c r="EE27" s="86"/>
      <c r="EF27" s="86"/>
      <c r="EG27" s="86"/>
      <c r="EH27" s="86"/>
      <c r="EI27" s="86"/>
      <c r="EJ27" s="86"/>
      <c r="EK27" s="86"/>
      <c r="EL27" s="86"/>
      <c r="EM27" s="86"/>
      <c r="EN27" s="86"/>
      <c r="EO27" s="86"/>
      <c r="EP27" s="86"/>
      <c r="EQ27" s="86"/>
      <c r="ER27" s="86"/>
      <c r="ES27" s="86"/>
      <c r="ET27" s="86"/>
      <c r="EU27" s="86"/>
      <c r="EV27" s="86"/>
      <c r="EW27" s="86"/>
      <c r="EX27" s="86"/>
      <c r="EY27" s="86"/>
      <c r="EZ27" s="86"/>
      <c r="FA27" s="86"/>
      <c r="FB27" s="86"/>
      <c r="FC27" s="86"/>
      <c r="FD27" s="86"/>
      <c r="FE27" s="86"/>
      <c r="FF27" s="86"/>
      <c r="FG27" s="86"/>
      <c r="FH27" s="86"/>
      <c r="FI27" s="86"/>
      <c r="FJ27" s="86"/>
      <c r="FK27" s="86"/>
      <c r="FL27" s="86"/>
      <c r="FM27" s="86"/>
      <c r="FN27" s="86"/>
      <c r="FO27" s="86"/>
      <c r="FP27" s="86"/>
      <c r="FQ27" s="86"/>
      <c r="FR27" s="86"/>
      <c r="FS27" s="86"/>
      <c r="FT27" s="86"/>
      <c r="FU27" s="86"/>
      <c r="FV27" s="86"/>
      <c r="FW27" s="86"/>
      <c r="FX27" s="86"/>
      <c r="FY27" s="86"/>
      <c r="FZ27" s="86"/>
      <c r="GA27" s="86"/>
      <c r="GB27" s="86"/>
      <c r="GC27" s="86"/>
      <c r="GD27" s="86"/>
      <c r="GE27" s="86"/>
      <c r="GF27" s="86"/>
      <c r="GG27" s="86"/>
      <c r="GH27" s="86"/>
      <c r="GI27" s="86"/>
      <c r="GJ27" s="86"/>
      <c r="GK27" s="86"/>
      <c r="GL27" s="86"/>
      <c r="GM27" s="86"/>
      <c r="GN27" s="86"/>
      <c r="GO27" s="86"/>
      <c r="GP27" s="86"/>
      <c r="GQ27" s="86"/>
      <c r="GR27" s="86"/>
      <c r="GS27" s="86"/>
      <c r="GT27" s="86"/>
      <c r="GU27" s="86"/>
      <c r="GV27" s="86"/>
      <c r="GW27" s="86"/>
      <c r="GX27" s="86"/>
      <c r="GY27" s="86"/>
      <c r="GZ27" s="86"/>
      <c r="HA27" s="86"/>
      <c r="HB27" s="86"/>
      <c r="HC27" s="86"/>
      <c r="HD27" s="86"/>
      <c r="HE27" s="86"/>
      <c r="HF27" s="86"/>
      <c r="HG27" s="86"/>
      <c r="HH27" s="86"/>
      <c r="HI27" s="86"/>
      <c r="HJ27" s="86"/>
      <c r="HK27" s="86"/>
      <c r="HL27" s="86"/>
      <c r="HM27" s="86"/>
      <c r="HN27" s="86"/>
      <c r="HO27" s="86"/>
      <c r="HP27" s="86"/>
      <c r="HQ27" s="86"/>
      <c r="HR27" s="86"/>
      <c r="HS27" s="86"/>
      <c r="HT27" s="86"/>
      <c r="HU27" s="86"/>
      <c r="HV27" s="86"/>
      <c r="HW27" s="86"/>
      <c r="HX27" s="86"/>
      <c r="HY27" s="86"/>
      <c r="HZ27" s="86"/>
      <c r="IA27" s="86"/>
      <c r="IB27" s="86"/>
      <c r="IC27" s="86"/>
      <c r="ID27" s="86"/>
      <c r="IE27" s="86"/>
      <c r="IF27" s="86"/>
      <c r="IG27" s="86"/>
      <c r="IH27" s="86"/>
      <c r="II27" s="86"/>
      <c r="IJ27" s="86"/>
      <c r="IK27" s="86"/>
      <c r="IL27" s="86"/>
      <c r="IM27" s="86"/>
      <c r="IN27" s="86"/>
      <c r="IO27" s="86"/>
      <c r="IP27" s="86"/>
      <c r="IQ27" s="86"/>
      <c r="IR27" s="86"/>
      <c r="IS27" s="86"/>
      <c r="IT27" s="86"/>
      <c r="IU27" s="86"/>
      <c r="IV27" s="86"/>
      <c r="IW27" s="86"/>
    </row>
    <row r="28" spans="1:257" s="91" customFormat="1" ht="16.2" customHeight="1">
      <c r="A28" s="86"/>
      <c r="B28" s="92">
        <f>$B$1*$B$2+$B$3*969</f>
        <v>43707</v>
      </c>
      <c r="C28" s="92">
        <f>$B$1*$B$2+$B$3*848</f>
        <v>43586</v>
      </c>
      <c r="D28" s="100">
        <f>$B$1*$B$2+$B$3*735</f>
        <v>43473</v>
      </c>
      <c r="E28" s="94">
        <f>$B$1*$B$2+$B$3*630</f>
        <v>43368</v>
      </c>
      <c r="F28" s="94">
        <f>$B$1*$B$2+$B$3*533</f>
        <v>43271</v>
      </c>
      <c r="G28" s="94">
        <f>$B$1*$B$2+$B$3*444</f>
        <v>43182</v>
      </c>
      <c r="H28" s="94">
        <f>$B$1*$B$2+$B$3*363</f>
        <v>43101</v>
      </c>
      <c r="I28" s="94">
        <f>$B$1*$B$2+$B$3*290</f>
        <v>43028</v>
      </c>
      <c r="J28" s="113">
        <f>$B$1*$B$2+$B$3*225</f>
        <v>42963</v>
      </c>
      <c r="K28" s="109">
        <f>$B$1*$B$2+$B$3*224</f>
        <v>42962</v>
      </c>
      <c r="L28" s="114">
        <f>$B$1*$B$2+$B$3*223</f>
        <v>42961</v>
      </c>
      <c r="M28" s="114">
        <f>$B$1*$B$2+$B$3*222</f>
        <v>42960</v>
      </c>
      <c r="N28" s="114">
        <f>$B$1*$B$2+$B$3*221</f>
        <v>42959</v>
      </c>
      <c r="O28" s="114">
        <f>$B$1*$B$2+$B$3*220</f>
        <v>42958</v>
      </c>
      <c r="P28" s="114">
        <f>$B$1*$B$2+$B$3*219</f>
        <v>42957</v>
      </c>
      <c r="Q28" s="114">
        <f>$B$1*$B$2+$B$3*218</f>
        <v>42956</v>
      </c>
      <c r="R28" s="110">
        <f>$B$1*$B$2+$B$3*217</f>
        <v>42955</v>
      </c>
      <c r="S28" s="114">
        <f>$B$1*$B$2+$B$3*216</f>
        <v>42954</v>
      </c>
      <c r="T28" s="114">
        <f>$B$1*$B$2+$B$3*215</f>
        <v>42953</v>
      </c>
      <c r="U28" s="114">
        <f>$B$1*$B$2+$B$3*214</f>
        <v>42952</v>
      </c>
      <c r="V28" s="114">
        <f>$B$1*$B$2+$B$3*213</f>
        <v>42951</v>
      </c>
      <c r="W28" s="114">
        <f>$B$1*$B$2+$B$3*212</f>
        <v>42950</v>
      </c>
      <c r="X28" s="114">
        <f>$B$1*$B$2+$B$3*211</f>
        <v>42949</v>
      </c>
      <c r="Y28" s="111">
        <f>$B$1*$B$2+$B$3*210</f>
        <v>42948</v>
      </c>
      <c r="Z28" s="93">
        <f>$B$1*$B$2+$B$3*271</f>
        <v>43009</v>
      </c>
      <c r="AA28" s="93">
        <f>$B$1*$B$2+$B$3*340</f>
        <v>43078</v>
      </c>
      <c r="AB28" s="93">
        <f>$B$1*$B$2+$B$3*417</f>
        <v>43155</v>
      </c>
      <c r="AC28" s="93">
        <f>$B$1*$B$2+$B$3*502</f>
        <v>43240</v>
      </c>
      <c r="AD28" s="93">
        <f>$B$1*$B$2+$B$3*595</f>
        <v>43333</v>
      </c>
      <c r="AE28" s="93">
        <f>$B$1*$B$2+$B$3*696</f>
        <v>43434</v>
      </c>
      <c r="AF28" s="101">
        <f>$B$1*$B$2+$B$3*805</f>
        <v>43543</v>
      </c>
      <c r="AG28" s="93">
        <f>$B$1*$B$2+$B$3*922</f>
        <v>43660</v>
      </c>
      <c r="AH28" s="92">
        <f>$B$1*$B$2+$B$3*1047</f>
        <v>43785</v>
      </c>
      <c r="AI28" s="86"/>
      <c r="AJ28" s="86"/>
      <c r="AK28" s="86"/>
      <c r="AL28" s="86"/>
      <c r="AM28" s="86"/>
      <c r="AN28" s="86"/>
      <c r="AO28" s="86"/>
      <c r="AP28" s="86"/>
      <c r="AQ28" s="86"/>
      <c r="AR28" s="86"/>
      <c r="AS28" s="86"/>
      <c r="AT28" s="86"/>
      <c r="AU28" s="86"/>
      <c r="AV28" s="86"/>
      <c r="AW28" s="86"/>
      <c r="AX28" s="86"/>
      <c r="AY28" s="86"/>
      <c r="AZ28" s="86"/>
      <c r="BA28" s="86"/>
      <c r="BB28" s="86"/>
      <c r="BC28" s="86"/>
      <c r="BD28" s="86"/>
      <c r="BE28" s="86"/>
      <c r="BF28" s="86"/>
      <c r="BG28" s="86"/>
      <c r="BH28" s="86"/>
      <c r="BI28" s="86"/>
      <c r="BJ28" s="86"/>
      <c r="BK28" s="86"/>
      <c r="BL28" s="86"/>
      <c r="BM28" s="86"/>
      <c r="BN28" s="86"/>
      <c r="BO28" s="86"/>
      <c r="BP28" s="86"/>
      <c r="BQ28" s="86"/>
      <c r="BR28" s="86"/>
      <c r="BS28" s="86"/>
      <c r="BT28" s="86"/>
      <c r="BU28" s="86"/>
      <c r="BV28" s="86"/>
      <c r="BW28" s="86"/>
      <c r="BX28" s="86"/>
      <c r="BY28" s="86"/>
      <c r="BZ28" s="86"/>
      <c r="CA28" s="86"/>
      <c r="CB28" s="86"/>
      <c r="CC28" s="86"/>
      <c r="CD28" s="86"/>
      <c r="CE28" s="86"/>
      <c r="CF28" s="86"/>
      <c r="CG28" s="86"/>
      <c r="CH28" s="86"/>
      <c r="CI28" s="86"/>
      <c r="CJ28" s="86"/>
      <c r="CK28" s="86"/>
      <c r="CL28" s="86"/>
      <c r="CM28" s="86"/>
      <c r="CN28" s="86"/>
      <c r="CO28" s="86"/>
      <c r="CP28" s="86"/>
      <c r="CQ28" s="86"/>
      <c r="CR28" s="86"/>
      <c r="CS28" s="86"/>
      <c r="CT28" s="86"/>
      <c r="CU28" s="86"/>
      <c r="CV28" s="86"/>
      <c r="CW28" s="86"/>
      <c r="CX28" s="86"/>
      <c r="CY28" s="86"/>
      <c r="CZ28" s="86"/>
      <c r="DA28" s="86"/>
      <c r="DB28" s="86"/>
      <c r="DC28" s="86"/>
      <c r="DD28" s="86"/>
      <c r="DE28" s="86"/>
      <c r="DF28" s="86"/>
      <c r="DG28" s="86"/>
      <c r="DH28" s="86"/>
      <c r="DI28" s="86"/>
      <c r="DJ28" s="86"/>
      <c r="DK28" s="86"/>
      <c r="DL28" s="86"/>
      <c r="DM28" s="86"/>
      <c r="DN28" s="86"/>
      <c r="DO28" s="86"/>
      <c r="DP28" s="86"/>
      <c r="DQ28" s="86"/>
      <c r="DR28" s="86"/>
      <c r="DS28" s="86"/>
      <c r="DT28" s="86"/>
      <c r="DU28" s="86"/>
      <c r="DV28" s="86"/>
      <c r="DW28" s="86"/>
      <c r="DX28" s="86"/>
      <c r="DY28" s="86"/>
      <c r="DZ28" s="86"/>
      <c r="EA28" s="86"/>
      <c r="EB28" s="86"/>
      <c r="EC28" s="86"/>
      <c r="ED28" s="86"/>
      <c r="EE28" s="86"/>
      <c r="EF28" s="86"/>
      <c r="EG28" s="86"/>
      <c r="EH28" s="86"/>
      <c r="EI28" s="86"/>
      <c r="EJ28" s="86"/>
      <c r="EK28" s="86"/>
      <c r="EL28" s="86"/>
      <c r="EM28" s="86"/>
      <c r="EN28" s="86"/>
      <c r="EO28" s="86"/>
      <c r="EP28" s="86"/>
      <c r="EQ28" s="86"/>
      <c r="ER28" s="86"/>
      <c r="ES28" s="86"/>
      <c r="ET28" s="86"/>
      <c r="EU28" s="86"/>
      <c r="EV28" s="86"/>
      <c r="EW28" s="86"/>
      <c r="EX28" s="86"/>
      <c r="EY28" s="86"/>
      <c r="EZ28" s="86"/>
      <c r="FA28" s="86"/>
      <c r="FB28" s="86"/>
      <c r="FC28" s="86"/>
      <c r="FD28" s="86"/>
      <c r="FE28" s="86"/>
      <c r="FF28" s="86"/>
      <c r="FG28" s="86"/>
      <c r="FH28" s="86"/>
      <c r="FI28" s="86"/>
      <c r="FJ28" s="86"/>
      <c r="FK28" s="86"/>
      <c r="FL28" s="86"/>
      <c r="FM28" s="86"/>
      <c r="FN28" s="86"/>
      <c r="FO28" s="86"/>
      <c r="FP28" s="86"/>
      <c r="FQ28" s="86"/>
      <c r="FR28" s="86"/>
      <c r="FS28" s="86"/>
      <c r="FT28" s="86"/>
      <c r="FU28" s="86"/>
      <c r="FV28" s="86"/>
      <c r="FW28" s="86"/>
      <c r="FX28" s="86"/>
      <c r="FY28" s="86"/>
      <c r="FZ28" s="86"/>
      <c r="GA28" s="86"/>
      <c r="GB28" s="86"/>
      <c r="GC28" s="86"/>
      <c r="GD28" s="86"/>
      <c r="GE28" s="86"/>
      <c r="GF28" s="86"/>
      <c r="GG28" s="86"/>
      <c r="GH28" s="86"/>
      <c r="GI28" s="86"/>
      <c r="GJ28" s="86"/>
      <c r="GK28" s="86"/>
      <c r="GL28" s="86"/>
      <c r="GM28" s="86"/>
      <c r="GN28" s="86"/>
      <c r="GO28" s="86"/>
      <c r="GP28" s="86"/>
      <c r="GQ28" s="86"/>
      <c r="GR28" s="86"/>
      <c r="GS28" s="86"/>
      <c r="GT28" s="86"/>
      <c r="GU28" s="86"/>
      <c r="GV28" s="86"/>
      <c r="GW28" s="86"/>
      <c r="GX28" s="86"/>
      <c r="GY28" s="86"/>
      <c r="GZ28" s="86"/>
      <c r="HA28" s="86"/>
      <c r="HB28" s="86"/>
      <c r="HC28" s="86"/>
      <c r="HD28" s="86"/>
      <c r="HE28" s="86"/>
      <c r="HF28" s="86"/>
      <c r="HG28" s="86"/>
      <c r="HH28" s="86"/>
      <c r="HI28" s="86"/>
      <c r="HJ28" s="86"/>
      <c r="HK28" s="86"/>
      <c r="HL28" s="86"/>
      <c r="HM28" s="86"/>
      <c r="HN28" s="86"/>
      <c r="HO28" s="86"/>
      <c r="HP28" s="86"/>
      <c r="HQ28" s="86"/>
      <c r="HR28" s="86"/>
      <c r="HS28" s="86"/>
      <c r="HT28" s="86"/>
      <c r="HU28" s="86"/>
      <c r="HV28" s="86"/>
      <c r="HW28" s="86"/>
      <c r="HX28" s="86"/>
      <c r="HY28" s="86"/>
      <c r="HZ28" s="86"/>
      <c r="IA28" s="86"/>
      <c r="IB28" s="86"/>
      <c r="IC28" s="86"/>
      <c r="ID28" s="86"/>
      <c r="IE28" s="86"/>
      <c r="IF28" s="86"/>
      <c r="IG28" s="86"/>
      <c r="IH28" s="86"/>
      <c r="II28" s="86"/>
      <c r="IJ28" s="86"/>
      <c r="IK28" s="86"/>
      <c r="IL28" s="86"/>
      <c r="IM28" s="86"/>
      <c r="IN28" s="86"/>
      <c r="IO28" s="86"/>
      <c r="IP28" s="86"/>
      <c r="IQ28" s="86"/>
      <c r="IR28" s="86"/>
      <c r="IS28" s="86"/>
      <c r="IT28" s="86"/>
      <c r="IU28" s="86"/>
      <c r="IV28" s="86"/>
      <c r="IW28" s="86"/>
    </row>
    <row r="29" spans="1:257" s="91" customFormat="1" ht="16.2" customHeight="1">
      <c r="A29" s="97" t="s">
        <v>51</v>
      </c>
      <c r="B29" s="98">
        <f>$B$1*$B$2+$B$3*968</f>
        <v>43706</v>
      </c>
      <c r="C29" s="92">
        <f>$B$1*$B$2+$B$3*847</f>
        <v>43585</v>
      </c>
      <c r="D29" s="94">
        <f>$B$1*$B$2+$B$3*734</f>
        <v>43472</v>
      </c>
      <c r="E29" s="94">
        <f>$B$1*$B$2+$B$3*629</f>
        <v>43367</v>
      </c>
      <c r="F29" s="94">
        <f>$B$1*$B$2+$B$3*532</f>
        <v>43270</v>
      </c>
      <c r="G29" s="94">
        <f>$B$1*$B$2+$B$3*443</f>
        <v>43181</v>
      </c>
      <c r="H29" s="92">
        <f>$B$1*$B$2+$B$3*362</f>
        <v>43100</v>
      </c>
      <c r="I29" s="113">
        <f>$B$1*$B$2+$B$3*289</f>
        <v>43027</v>
      </c>
      <c r="J29" s="109">
        <f>$B$1*$B$2+$B$3*288</f>
        <v>43026</v>
      </c>
      <c r="K29" s="114">
        <f>$B$1*$B$2+$B$3*287</f>
        <v>43025</v>
      </c>
      <c r="L29" s="114">
        <f>$B$1*$B$2+$B$3*286</f>
        <v>43024</v>
      </c>
      <c r="M29" s="114">
        <f>$B$1*$B$2+$B$3*285</f>
        <v>43023</v>
      </c>
      <c r="N29" s="110">
        <f>$B$1*$B$2+$B$3*284</f>
        <v>43022</v>
      </c>
      <c r="O29" s="114">
        <f>$B$1*$B$2+$B$3*283</f>
        <v>43021</v>
      </c>
      <c r="P29" s="114">
        <f>$B$1*$B$2+$B$3*282</f>
        <v>43020</v>
      </c>
      <c r="Q29" s="114">
        <f>$B$1*$B$2+$B$3*281</f>
        <v>43019</v>
      </c>
      <c r="R29" s="110">
        <f>$B$1*$B$2+$B$3*280</f>
        <v>43018</v>
      </c>
      <c r="S29" s="114">
        <f>$B$1*$B$2+$B$3*279</f>
        <v>43017</v>
      </c>
      <c r="T29" s="114">
        <f>$B$1*$B$2+$B$3*278</f>
        <v>43016</v>
      </c>
      <c r="U29" s="114">
        <f>$B$1*$B$2+$B$3*277</f>
        <v>43015</v>
      </c>
      <c r="V29" s="110">
        <f>$B$1*$B$2+$B$3*276</f>
        <v>43014</v>
      </c>
      <c r="W29" s="114">
        <f>$B$1*$B$2+$B$3*275</f>
        <v>43013</v>
      </c>
      <c r="X29" s="114">
        <f>$B$1*$B$2+$B$3*274</f>
        <v>43012</v>
      </c>
      <c r="Y29" s="114">
        <f>$B$1*$B$2+$B$3*273</f>
        <v>43011</v>
      </c>
      <c r="Z29" s="111">
        <f>$B$1*$B$2+$B$3*272</f>
        <v>43010</v>
      </c>
      <c r="AA29" s="93">
        <f>$B$1*$B$2+$B$3*341</f>
        <v>43079</v>
      </c>
      <c r="AB29" s="93">
        <f>$B$1*$B$2+$B$3*418</f>
        <v>43156</v>
      </c>
      <c r="AC29" s="93">
        <f>$B$1*$B$2+$B$3*503</f>
        <v>43241</v>
      </c>
      <c r="AD29" s="93">
        <f>$B$1*$B$2+$B$3*596</f>
        <v>43334</v>
      </c>
      <c r="AE29" s="93">
        <f>$B$1*$B$2+$B$3*697</f>
        <v>43435</v>
      </c>
      <c r="AF29" s="93">
        <f>$B$1*$B$2+$B$3*806</f>
        <v>43544</v>
      </c>
      <c r="AG29" s="93">
        <f>$B$1*$B$2+$B$3*923</f>
        <v>43661</v>
      </c>
      <c r="AH29" s="98">
        <f>$B$1*$B$2+$B$3*1048</f>
        <v>43786</v>
      </c>
      <c r="AI29" s="115" t="s">
        <v>52</v>
      </c>
      <c r="AJ29" s="86"/>
      <c r="AK29" s="86"/>
      <c r="AL29" s="86"/>
      <c r="AM29" s="86"/>
      <c r="AN29" s="86"/>
      <c r="AO29" s="86"/>
      <c r="AP29" s="86"/>
      <c r="AQ29" s="86"/>
      <c r="AR29" s="86"/>
      <c r="AS29" s="86"/>
      <c r="AT29" s="86"/>
      <c r="AU29" s="86"/>
      <c r="AV29" s="86"/>
      <c r="AW29" s="86"/>
      <c r="AX29" s="86"/>
      <c r="AY29" s="86"/>
      <c r="AZ29" s="86"/>
      <c r="BA29" s="86"/>
      <c r="BB29" s="86"/>
      <c r="BC29" s="86"/>
      <c r="BD29" s="86"/>
      <c r="BE29" s="86"/>
      <c r="BF29" s="86"/>
      <c r="BG29" s="86"/>
      <c r="BH29" s="86"/>
      <c r="BI29" s="86"/>
      <c r="BJ29" s="86"/>
      <c r="BK29" s="86"/>
      <c r="BL29" s="86"/>
      <c r="BM29" s="86"/>
      <c r="BN29" s="86"/>
      <c r="BO29" s="86"/>
      <c r="BP29" s="86"/>
      <c r="BQ29" s="86"/>
      <c r="BR29" s="86"/>
      <c r="BS29" s="86"/>
      <c r="BT29" s="86"/>
      <c r="BU29" s="86"/>
      <c r="BV29" s="86"/>
      <c r="BW29" s="86"/>
      <c r="BX29" s="86"/>
      <c r="BY29" s="86"/>
      <c r="BZ29" s="86"/>
      <c r="CA29" s="86"/>
      <c r="CB29" s="86"/>
      <c r="CC29" s="86"/>
      <c r="CD29" s="86"/>
      <c r="CE29" s="86"/>
      <c r="CF29" s="86"/>
      <c r="CG29" s="86"/>
      <c r="CH29" s="86"/>
      <c r="CI29" s="86"/>
      <c r="CJ29" s="86"/>
      <c r="CK29" s="86"/>
      <c r="CL29" s="86"/>
      <c r="CM29" s="86"/>
      <c r="CN29" s="86"/>
      <c r="CO29" s="86"/>
      <c r="CP29" s="86"/>
      <c r="CQ29" s="86"/>
      <c r="CR29" s="86"/>
      <c r="CS29" s="86"/>
      <c r="CT29" s="86"/>
      <c r="CU29" s="86"/>
      <c r="CV29" s="86"/>
      <c r="CW29" s="86"/>
      <c r="CX29" s="86"/>
      <c r="CY29" s="86"/>
      <c r="CZ29" s="86"/>
      <c r="DA29" s="86"/>
      <c r="DB29" s="86"/>
      <c r="DC29" s="86"/>
      <c r="DD29" s="86"/>
      <c r="DE29" s="86"/>
      <c r="DF29" s="86"/>
      <c r="DG29" s="86"/>
      <c r="DH29" s="86"/>
      <c r="DI29" s="86"/>
      <c r="DJ29" s="86"/>
      <c r="DK29" s="86"/>
      <c r="DL29" s="86"/>
      <c r="DM29" s="86"/>
      <c r="DN29" s="86"/>
      <c r="DO29" s="86"/>
      <c r="DP29" s="86"/>
      <c r="DQ29" s="86"/>
      <c r="DR29" s="86"/>
      <c r="DS29" s="86"/>
      <c r="DT29" s="86"/>
      <c r="DU29" s="86"/>
      <c r="DV29" s="86"/>
      <c r="DW29" s="86"/>
      <c r="DX29" s="86"/>
      <c r="DY29" s="86"/>
      <c r="DZ29" s="86"/>
      <c r="EA29" s="86"/>
      <c r="EB29" s="86"/>
      <c r="EC29" s="86"/>
      <c r="ED29" s="86"/>
      <c r="EE29" s="86"/>
      <c r="EF29" s="86"/>
      <c r="EG29" s="86"/>
      <c r="EH29" s="86"/>
      <c r="EI29" s="86"/>
      <c r="EJ29" s="86"/>
      <c r="EK29" s="86"/>
      <c r="EL29" s="86"/>
      <c r="EM29" s="86"/>
      <c r="EN29" s="86"/>
      <c r="EO29" s="86"/>
      <c r="EP29" s="86"/>
      <c r="EQ29" s="86"/>
      <c r="ER29" s="86"/>
      <c r="ES29" s="86"/>
      <c r="ET29" s="86"/>
      <c r="EU29" s="86"/>
      <c r="EV29" s="86"/>
      <c r="EW29" s="86"/>
      <c r="EX29" s="86"/>
      <c r="EY29" s="86"/>
      <c r="EZ29" s="86"/>
      <c r="FA29" s="86"/>
      <c r="FB29" s="86"/>
      <c r="FC29" s="86"/>
      <c r="FD29" s="86"/>
      <c r="FE29" s="86"/>
      <c r="FF29" s="86"/>
      <c r="FG29" s="86"/>
      <c r="FH29" s="86"/>
      <c r="FI29" s="86"/>
      <c r="FJ29" s="86"/>
      <c r="FK29" s="86"/>
      <c r="FL29" s="86"/>
      <c r="FM29" s="86"/>
      <c r="FN29" s="86"/>
      <c r="FO29" s="86"/>
      <c r="FP29" s="86"/>
      <c r="FQ29" s="86"/>
      <c r="FR29" s="86"/>
      <c r="FS29" s="86"/>
      <c r="FT29" s="86"/>
      <c r="FU29" s="86"/>
      <c r="FV29" s="86"/>
      <c r="FW29" s="86"/>
      <c r="FX29" s="86"/>
      <c r="FY29" s="86"/>
      <c r="FZ29" s="86"/>
      <c r="GA29" s="86"/>
      <c r="GB29" s="86"/>
      <c r="GC29" s="86"/>
      <c r="GD29" s="86"/>
      <c r="GE29" s="86"/>
      <c r="GF29" s="86"/>
      <c r="GG29" s="86"/>
      <c r="GH29" s="86"/>
      <c r="GI29" s="86"/>
      <c r="GJ29" s="86"/>
      <c r="GK29" s="86"/>
      <c r="GL29" s="86"/>
      <c r="GM29" s="86"/>
      <c r="GN29" s="86"/>
      <c r="GO29" s="86"/>
      <c r="GP29" s="86"/>
      <c r="GQ29" s="86"/>
      <c r="GR29" s="86"/>
      <c r="GS29" s="86"/>
      <c r="GT29" s="86"/>
      <c r="GU29" s="86"/>
      <c r="GV29" s="86"/>
      <c r="GW29" s="86"/>
      <c r="GX29" s="86"/>
      <c r="GY29" s="86"/>
      <c r="GZ29" s="86"/>
      <c r="HA29" s="86"/>
      <c r="HB29" s="86"/>
      <c r="HC29" s="86"/>
      <c r="HD29" s="86"/>
      <c r="HE29" s="86"/>
      <c r="HF29" s="86"/>
      <c r="HG29" s="86"/>
      <c r="HH29" s="86"/>
      <c r="HI29" s="86"/>
      <c r="HJ29" s="86"/>
      <c r="HK29" s="86"/>
      <c r="HL29" s="86"/>
      <c r="HM29" s="86"/>
      <c r="HN29" s="86"/>
      <c r="HO29" s="86"/>
      <c r="HP29" s="86"/>
      <c r="HQ29" s="86"/>
      <c r="HR29" s="86"/>
      <c r="HS29" s="86"/>
      <c r="HT29" s="86"/>
      <c r="HU29" s="86"/>
      <c r="HV29" s="86"/>
      <c r="HW29" s="86"/>
      <c r="HX29" s="86"/>
      <c r="HY29" s="86"/>
      <c r="HZ29" s="86"/>
      <c r="IA29" s="86"/>
      <c r="IB29" s="86"/>
      <c r="IC29" s="86"/>
      <c r="ID29" s="86"/>
      <c r="IE29" s="86"/>
      <c r="IF29" s="86"/>
      <c r="IG29" s="86"/>
      <c r="IH29" s="86"/>
      <c r="II29" s="86"/>
      <c r="IJ29" s="86"/>
      <c r="IK29" s="86"/>
      <c r="IL29" s="86"/>
      <c r="IM29" s="86"/>
      <c r="IN29" s="86"/>
      <c r="IO29" s="86"/>
      <c r="IP29" s="86"/>
      <c r="IQ29" s="86"/>
      <c r="IR29" s="86"/>
      <c r="IS29" s="86"/>
      <c r="IT29" s="86"/>
      <c r="IU29" s="86"/>
      <c r="IV29" s="86"/>
      <c r="IW29" s="86"/>
    </row>
    <row r="30" spans="1:257" s="91" customFormat="1" ht="16.2" customHeight="1">
      <c r="A30" s="116"/>
      <c r="B30" s="92">
        <f>$B$1*$B$2+$B$3*967</f>
        <v>43705</v>
      </c>
      <c r="C30" s="92">
        <f>$B$1*$B$2+$B$3*846</f>
        <v>43584</v>
      </c>
      <c r="D30" s="94">
        <f>$B$1*$B$2+$B$3*733</f>
        <v>43471</v>
      </c>
      <c r="E30" s="94">
        <f>$B$1*$B$2+$B$3*628</f>
        <v>43366</v>
      </c>
      <c r="F30" s="94">
        <f>$B$1*$B$2+$B$3*531</f>
        <v>43269</v>
      </c>
      <c r="G30" s="94">
        <f>$B$1*$B$2+$B$3*442</f>
        <v>43180</v>
      </c>
      <c r="H30" s="113">
        <f>$B$1*$B$2+$B$3*361</f>
        <v>43099</v>
      </c>
      <c r="I30" s="109">
        <f>$B$1*$B$2+$B$3*360</f>
        <v>43098</v>
      </c>
      <c r="J30" s="114">
        <f>$B$1*$B$2+$B$3*359</f>
        <v>43097</v>
      </c>
      <c r="K30" s="114">
        <f>$B$1*$B$2+$B$3*358</f>
        <v>43096</v>
      </c>
      <c r="L30" s="114">
        <f>$B$1*$B$2+$B$3*357</f>
        <v>43095</v>
      </c>
      <c r="M30" s="114">
        <f>$B$1*$B$2+$B$3*356</f>
        <v>43094</v>
      </c>
      <c r="N30" s="114">
        <f>$B$1*$B$2+$B$3*355</f>
        <v>43093</v>
      </c>
      <c r="O30" s="114">
        <f>$B$1*$B$2+$B$3*354</f>
        <v>43092</v>
      </c>
      <c r="P30" s="114">
        <f>$B$1*$B$2+$B$3*353</f>
        <v>43091</v>
      </c>
      <c r="Q30" s="114">
        <f>$B$1*$B$2+$B$3*352</f>
        <v>43090</v>
      </c>
      <c r="R30" s="110">
        <f>$B$1*$B$2+$B$3*351</f>
        <v>43089</v>
      </c>
      <c r="S30" s="114">
        <f>$B$1*$B$2+$B$3*350</f>
        <v>43088</v>
      </c>
      <c r="T30" s="114">
        <f>$B$1*$B$2+$B$3*349</f>
        <v>43087</v>
      </c>
      <c r="U30" s="114">
        <f>$B$1*$B$2+$B$3*348</f>
        <v>43086</v>
      </c>
      <c r="V30" s="114">
        <f>$B$1*$B$2+$B$3*347</f>
        <v>43085</v>
      </c>
      <c r="W30" s="114">
        <f>$B$1*$B$2+$B$3*346</f>
        <v>43084</v>
      </c>
      <c r="X30" s="114">
        <f>$B$1*$B$2+$B$3*345</f>
        <v>43083</v>
      </c>
      <c r="Y30" s="114">
        <f>$B$1*$B$2+$B$3*344</f>
        <v>43082</v>
      </c>
      <c r="Z30" s="114">
        <f>$B$1*$B$2+$B$3*343</f>
        <v>43081</v>
      </c>
      <c r="AA30" s="111">
        <f>$B$1*$B$2+$B$3*342</f>
        <v>43080</v>
      </c>
      <c r="AB30" s="93">
        <f>$B$1*$B$2+$B$3*419</f>
        <v>43157</v>
      </c>
      <c r="AC30" s="93">
        <f>$B$1*$B$2+$B$3*504</f>
        <v>43242</v>
      </c>
      <c r="AD30" s="93">
        <f>$B$1*$B$2+$B$3*597</f>
        <v>43335</v>
      </c>
      <c r="AE30" s="93">
        <f>$B$1*$B$2+$B$3*698</f>
        <v>43436</v>
      </c>
      <c r="AF30" s="93">
        <f>$B$1*$B$2+$B$3*807</f>
        <v>43545</v>
      </c>
      <c r="AG30" s="93">
        <f>$B$1*$B$2+$B$3*924</f>
        <v>43662</v>
      </c>
      <c r="AH30" s="92">
        <f>$B$1*$B$2+$B$3*1049</f>
        <v>43787</v>
      </c>
      <c r="AI30" s="112"/>
      <c r="AJ30" s="86"/>
      <c r="AK30" s="86"/>
      <c r="AL30" s="86"/>
      <c r="AM30" s="86"/>
      <c r="AN30" s="86"/>
      <c r="AO30" s="86"/>
      <c r="AP30" s="86"/>
      <c r="AQ30" s="86"/>
      <c r="AR30" s="86"/>
      <c r="AS30" s="86"/>
      <c r="AT30" s="86"/>
      <c r="AU30" s="86"/>
      <c r="AV30" s="86"/>
      <c r="AW30" s="86"/>
      <c r="AX30" s="86"/>
      <c r="AY30" s="86"/>
      <c r="AZ30" s="86"/>
      <c r="BA30" s="86"/>
      <c r="BB30" s="86"/>
      <c r="BC30" s="86"/>
      <c r="BD30" s="86"/>
      <c r="BE30" s="86"/>
      <c r="BF30" s="86"/>
      <c r="BG30" s="86"/>
      <c r="BH30" s="86"/>
      <c r="BI30" s="86"/>
      <c r="BJ30" s="86"/>
      <c r="BK30" s="86"/>
      <c r="BL30" s="86"/>
      <c r="BM30" s="86"/>
      <c r="BN30" s="86"/>
      <c r="BO30" s="86"/>
      <c r="BP30" s="86"/>
      <c r="BQ30" s="86"/>
      <c r="BR30" s="86"/>
      <c r="BS30" s="86"/>
      <c r="BT30" s="86"/>
      <c r="BU30" s="86"/>
      <c r="BV30" s="86"/>
      <c r="BW30" s="86"/>
      <c r="BX30" s="86"/>
      <c r="BY30" s="86"/>
      <c r="BZ30" s="86"/>
      <c r="CA30" s="86"/>
      <c r="CB30" s="86"/>
      <c r="CC30" s="86"/>
      <c r="CD30" s="86"/>
      <c r="CE30" s="86"/>
      <c r="CF30" s="86"/>
      <c r="CG30" s="86"/>
      <c r="CH30" s="86"/>
      <c r="CI30" s="86"/>
      <c r="CJ30" s="86"/>
      <c r="CK30" s="86"/>
      <c r="CL30" s="86"/>
      <c r="CM30" s="86"/>
      <c r="CN30" s="86"/>
      <c r="CO30" s="86"/>
      <c r="CP30" s="86"/>
      <c r="CQ30" s="86"/>
      <c r="CR30" s="86"/>
      <c r="CS30" s="86"/>
      <c r="CT30" s="86"/>
      <c r="CU30" s="86"/>
      <c r="CV30" s="86"/>
      <c r="CW30" s="86"/>
      <c r="CX30" s="86"/>
      <c r="CY30" s="86"/>
      <c r="CZ30" s="86"/>
      <c r="DA30" s="86"/>
      <c r="DB30" s="86"/>
      <c r="DC30" s="86"/>
      <c r="DD30" s="86"/>
      <c r="DE30" s="86"/>
      <c r="DF30" s="86"/>
      <c r="DG30" s="86"/>
      <c r="DH30" s="86"/>
      <c r="DI30" s="86"/>
      <c r="DJ30" s="86"/>
      <c r="DK30" s="86"/>
      <c r="DL30" s="86"/>
      <c r="DM30" s="86"/>
      <c r="DN30" s="86"/>
      <c r="DO30" s="86"/>
      <c r="DP30" s="86"/>
      <c r="DQ30" s="86"/>
      <c r="DR30" s="86"/>
      <c r="DS30" s="86"/>
      <c r="DT30" s="86"/>
      <c r="DU30" s="86"/>
      <c r="DV30" s="86"/>
      <c r="DW30" s="86"/>
      <c r="DX30" s="86"/>
      <c r="DY30" s="86"/>
      <c r="DZ30" s="86"/>
      <c r="EA30" s="86"/>
      <c r="EB30" s="86"/>
      <c r="EC30" s="86"/>
      <c r="ED30" s="86"/>
      <c r="EE30" s="86"/>
      <c r="EF30" s="86"/>
      <c r="EG30" s="86"/>
      <c r="EH30" s="86"/>
      <c r="EI30" s="86"/>
      <c r="EJ30" s="86"/>
      <c r="EK30" s="86"/>
      <c r="EL30" s="86"/>
      <c r="EM30" s="86"/>
      <c r="EN30" s="86"/>
      <c r="EO30" s="86"/>
      <c r="EP30" s="86"/>
      <c r="EQ30" s="86"/>
      <c r="ER30" s="86"/>
      <c r="ES30" s="86"/>
      <c r="ET30" s="86"/>
      <c r="EU30" s="86"/>
      <c r="EV30" s="86"/>
      <c r="EW30" s="86"/>
      <c r="EX30" s="86"/>
      <c r="EY30" s="86"/>
      <c r="EZ30" s="86"/>
      <c r="FA30" s="86"/>
      <c r="FB30" s="86"/>
      <c r="FC30" s="86"/>
      <c r="FD30" s="86"/>
      <c r="FE30" s="86"/>
      <c r="FF30" s="86"/>
      <c r="FG30" s="86"/>
      <c r="FH30" s="86"/>
      <c r="FI30" s="86"/>
      <c r="FJ30" s="86"/>
      <c r="FK30" s="86"/>
      <c r="FL30" s="86"/>
      <c r="FM30" s="86"/>
      <c r="FN30" s="86"/>
      <c r="FO30" s="86"/>
      <c r="FP30" s="86"/>
      <c r="FQ30" s="86"/>
      <c r="FR30" s="86"/>
      <c r="FS30" s="86"/>
      <c r="FT30" s="86"/>
      <c r="FU30" s="86"/>
      <c r="FV30" s="86"/>
      <c r="FW30" s="86"/>
      <c r="FX30" s="86"/>
      <c r="FY30" s="86"/>
      <c r="FZ30" s="86"/>
      <c r="GA30" s="86"/>
      <c r="GB30" s="86"/>
      <c r="GC30" s="86"/>
      <c r="GD30" s="86"/>
      <c r="GE30" s="86"/>
      <c r="GF30" s="86"/>
      <c r="GG30" s="86"/>
      <c r="GH30" s="86"/>
      <c r="GI30" s="86"/>
      <c r="GJ30" s="86"/>
      <c r="GK30" s="86"/>
      <c r="GL30" s="86"/>
      <c r="GM30" s="86"/>
      <c r="GN30" s="86"/>
      <c r="GO30" s="86"/>
      <c r="GP30" s="86"/>
      <c r="GQ30" s="86"/>
      <c r="GR30" s="86"/>
      <c r="GS30" s="86"/>
      <c r="GT30" s="86"/>
      <c r="GU30" s="86"/>
      <c r="GV30" s="86"/>
      <c r="GW30" s="86"/>
      <c r="GX30" s="86"/>
      <c r="GY30" s="86"/>
      <c r="GZ30" s="86"/>
      <c r="HA30" s="86"/>
      <c r="HB30" s="86"/>
      <c r="HC30" s="86"/>
      <c r="HD30" s="86"/>
      <c r="HE30" s="86"/>
      <c r="HF30" s="86"/>
      <c r="HG30" s="86"/>
      <c r="HH30" s="86"/>
      <c r="HI30" s="86"/>
      <c r="HJ30" s="86"/>
      <c r="HK30" s="86"/>
      <c r="HL30" s="86"/>
      <c r="HM30" s="86"/>
      <c r="HN30" s="86"/>
      <c r="HO30" s="86"/>
      <c r="HP30" s="86"/>
      <c r="HQ30" s="86"/>
      <c r="HR30" s="86"/>
      <c r="HS30" s="86"/>
      <c r="HT30" s="86"/>
      <c r="HU30" s="86"/>
      <c r="HV30" s="86"/>
      <c r="HW30" s="86"/>
      <c r="HX30" s="86"/>
      <c r="HY30" s="86"/>
      <c r="HZ30" s="86"/>
      <c r="IA30" s="86"/>
      <c r="IB30" s="86"/>
      <c r="IC30" s="86"/>
      <c r="ID30" s="86"/>
      <c r="IE30" s="86"/>
      <c r="IF30" s="86"/>
      <c r="IG30" s="86"/>
      <c r="IH30" s="86"/>
      <c r="II30" s="86"/>
      <c r="IJ30" s="86"/>
      <c r="IK30" s="86"/>
      <c r="IL30" s="86"/>
      <c r="IM30" s="86"/>
      <c r="IN30" s="86"/>
      <c r="IO30" s="86"/>
      <c r="IP30" s="86"/>
      <c r="IQ30" s="86"/>
      <c r="IR30" s="86"/>
      <c r="IS30" s="86"/>
      <c r="IT30" s="86"/>
      <c r="IU30" s="86"/>
      <c r="IV30" s="86"/>
      <c r="IW30" s="86"/>
    </row>
    <row r="31" spans="1:257" s="91" customFormat="1" ht="16.2" customHeight="1">
      <c r="A31" s="86"/>
      <c r="B31" s="92">
        <f>$B$1*$B$2+$B$3*966</f>
        <v>43704</v>
      </c>
      <c r="C31" s="92">
        <f>$B$1*$B$2+$B$3*845</f>
        <v>43583</v>
      </c>
      <c r="D31" s="94">
        <f>$B$1*$B$2+$B$3*732</f>
        <v>43470</v>
      </c>
      <c r="E31" s="94">
        <f>$B$1*$B$2+$B$3*627</f>
        <v>43365</v>
      </c>
      <c r="F31" s="94">
        <f>$B$1*$B$2+$B$3*530</f>
        <v>43268</v>
      </c>
      <c r="G31" s="113">
        <f>$B$1*$B$2+$B$3*441</f>
        <v>43179</v>
      </c>
      <c r="H31" s="109">
        <f>$B$1*$B$2+$B$3*440</f>
        <v>43178</v>
      </c>
      <c r="I31" s="114">
        <f>$B$1*$B$2+$B$3*439</f>
        <v>43177</v>
      </c>
      <c r="J31" s="114">
        <f>$B$1*$B$2+$B$3*438</f>
        <v>43176</v>
      </c>
      <c r="K31" s="114">
        <f>$B$1*$B$2+$B$3*437</f>
        <v>43175</v>
      </c>
      <c r="L31" s="114">
        <f>$B$1*$B$2+$B$3*436</f>
        <v>43174</v>
      </c>
      <c r="M31" s="110">
        <f>$B$1*$B$2+$B$3*435</f>
        <v>43173</v>
      </c>
      <c r="N31" s="114">
        <f>$B$1*$B$2+$B$3*434</f>
        <v>43172</v>
      </c>
      <c r="O31" s="114">
        <f>$B$1*$B$2+$B$3*433</f>
        <v>43171</v>
      </c>
      <c r="P31" s="114">
        <f>$B$1*$B$2+$B$3*432</f>
        <v>43170</v>
      </c>
      <c r="Q31" s="114">
        <f>$B$1*$B$2+$B$3*431</f>
        <v>43169</v>
      </c>
      <c r="R31" s="110">
        <f>$B$1*$B$2+$B$3*430</f>
        <v>43168</v>
      </c>
      <c r="S31" s="114">
        <f>$B$1*$B$2+$B$3*429</f>
        <v>43167</v>
      </c>
      <c r="T31" s="114">
        <f>$B$1*$B$2+$B$3*428</f>
        <v>43166</v>
      </c>
      <c r="U31" s="114">
        <f>$B$1*$B$2+$B$3*427</f>
        <v>43165</v>
      </c>
      <c r="V31" s="114">
        <f>$B$1*$B$2+$B$3*426</f>
        <v>43164</v>
      </c>
      <c r="W31" s="110">
        <f>$B$1*$B$2+$B$3*425</f>
        <v>43163</v>
      </c>
      <c r="X31" s="114">
        <f>$B$1*$B$2+$B$3*424</f>
        <v>43162</v>
      </c>
      <c r="Y31" s="114">
        <f>$B$1*$B$2+$B$3*423</f>
        <v>43161</v>
      </c>
      <c r="Z31" s="114">
        <f>$B$1*$B$2+$B$3*422</f>
        <v>43160</v>
      </c>
      <c r="AA31" s="114">
        <f>$B$1*$B$2+$B$3*421</f>
        <v>43159</v>
      </c>
      <c r="AB31" s="111">
        <f>$B$1*$B$2+$B$3*420</f>
        <v>43158</v>
      </c>
      <c r="AC31" s="93">
        <f>$B$1*$B$2+$B$3*505</f>
        <v>43243</v>
      </c>
      <c r="AD31" s="93">
        <f>$B$1*$B$2+$B$3*598</f>
        <v>43336</v>
      </c>
      <c r="AE31" s="93">
        <f>$B$1*$B$2+$B$3*699</f>
        <v>43437</v>
      </c>
      <c r="AF31" s="93">
        <f>$B$1*$B$2+$B$3*808</f>
        <v>43546</v>
      </c>
      <c r="AG31" s="93">
        <f>$B$1*$B$2+$B$3*925</f>
        <v>43663</v>
      </c>
      <c r="AH31" s="92">
        <f>$B$1*$B$2+$B$3*1050</f>
        <v>43788</v>
      </c>
      <c r="AI31" s="86"/>
      <c r="AJ31" s="86"/>
      <c r="AK31" s="86"/>
      <c r="AL31" s="86"/>
      <c r="AM31" s="86"/>
      <c r="AN31" s="86"/>
      <c r="AO31" s="86"/>
      <c r="AP31" s="86"/>
      <c r="AQ31" s="86"/>
      <c r="AR31" s="86"/>
      <c r="AS31" s="86"/>
      <c r="AT31" s="86"/>
      <c r="AU31" s="86"/>
      <c r="AV31" s="86"/>
      <c r="AW31" s="86"/>
      <c r="AX31" s="86"/>
      <c r="AY31" s="86"/>
      <c r="AZ31" s="86"/>
      <c r="BA31" s="86"/>
      <c r="BB31" s="86"/>
      <c r="BC31" s="86"/>
      <c r="BD31" s="86"/>
      <c r="BE31" s="86"/>
      <c r="BF31" s="86"/>
      <c r="BG31" s="86"/>
      <c r="BH31" s="86"/>
      <c r="BI31" s="86"/>
      <c r="BJ31" s="86"/>
      <c r="BK31" s="86"/>
      <c r="BL31" s="86"/>
      <c r="BM31" s="86"/>
      <c r="BN31" s="86"/>
      <c r="BO31" s="86"/>
      <c r="BP31" s="86"/>
      <c r="BQ31" s="86"/>
      <c r="BR31" s="86"/>
      <c r="BS31" s="86"/>
      <c r="BT31" s="86"/>
      <c r="BU31" s="86"/>
      <c r="BV31" s="86"/>
      <c r="BW31" s="86"/>
      <c r="BX31" s="86"/>
      <c r="BY31" s="86"/>
      <c r="BZ31" s="86"/>
      <c r="CA31" s="86"/>
      <c r="CB31" s="86"/>
      <c r="CC31" s="86"/>
      <c r="CD31" s="86"/>
      <c r="CE31" s="86"/>
      <c r="CF31" s="86"/>
      <c r="CG31" s="86"/>
      <c r="CH31" s="86"/>
      <c r="CI31" s="86"/>
      <c r="CJ31" s="86"/>
      <c r="CK31" s="86"/>
      <c r="CL31" s="86"/>
      <c r="CM31" s="86"/>
      <c r="CN31" s="86"/>
      <c r="CO31" s="86"/>
      <c r="CP31" s="86"/>
      <c r="CQ31" s="86"/>
      <c r="CR31" s="86"/>
      <c r="CS31" s="86"/>
      <c r="CT31" s="86"/>
      <c r="CU31" s="86"/>
      <c r="CV31" s="86"/>
      <c r="CW31" s="86"/>
      <c r="CX31" s="86"/>
      <c r="CY31" s="86"/>
      <c r="CZ31" s="86"/>
      <c r="DA31" s="86"/>
      <c r="DB31" s="86"/>
      <c r="DC31" s="86"/>
      <c r="DD31" s="86"/>
      <c r="DE31" s="86"/>
      <c r="DF31" s="86"/>
      <c r="DG31" s="86"/>
      <c r="DH31" s="86"/>
      <c r="DI31" s="86"/>
      <c r="DJ31" s="86"/>
      <c r="DK31" s="86"/>
      <c r="DL31" s="86"/>
      <c r="DM31" s="86"/>
      <c r="DN31" s="86"/>
      <c r="DO31" s="86"/>
      <c r="DP31" s="86"/>
      <c r="DQ31" s="86"/>
      <c r="DR31" s="86"/>
      <c r="DS31" s="86"/>
      <c r="DT31" s="86"/>
      <c r="DU31" s="86"/>
      <c r="DV31" s="86"/>
      <c r="DW31" s="86"/>
      <c r="DX31" s="86"/>
      <c r="DY31" s="86"/>
      <c r="DZ31" s="86"/>
      <c r="EA31" s="86"/>
      <c r="EB31" s="86"/>
      <c r="EC31" s="86"/>
      <c r="ED31" s="86"/>
      <c r="EE31" s="86"/>
      <c r="EF31" s="86"/>
      <c r="EG31" s="86"/>
      <c r="EH31" s="86"/>
      <c r="EI31" s="86"/>
      <c r="EJ31" s="86"/>
      <c r="EK31" s="86"/>
      <c r="EL31" s="86"/>
      <c r="EM31" s="86"/>
      <c r="EN31" s="86"/>
      <c r="EO31" s="86"/>
      <c r="EP31" s="86"/>
      <c r="EQ31" s="86"/>
      <c r="ER31" s="86"/>
      <c r="ES31" s="86"/>
      <c r="ET31" s="86"/>
      <c r="EU31" s="86"/>
      <c r="EV31" s="86"/>
      <c r="EW31" s="86"/>
      <c r="EX31" s="86"/>
      <c r="EY31" s="86"/>
      <c r="EZ31" s="86"/>
      <c r="FA31" s="86"/>
      <c r="FB31" s="86"/>
      <c r="FC31" s="86"/>
      <c r="FD31" s="86"/>
      <c r="FE31" s="86"/>
      <c r="FF31" s="86"/>
      <c r="FG31" s="86"/>
      <c r="FH31" s="86"/>
      <c r="FI31" s="86"/>
      <c r="FJ31" s="86"/>
      <c r="FK31" s="86"/>
      <c r="FL31" s="86"/>
      <c r="FM31" s="86"/>
      <c r="FN31" s="86"/>
      <c r="FO31" s="86"/>
      <c r="FP31" s="86"/>
      <c r="FQ31" s="86"/>
      <c r="FR31" s="86"/>
      <c r="FS31" s="86"/>
      <c r="FT31" s="86"/>
      <c r="FU31" s="86"/>
      <c r="FV31" s="86"/>
      <c r="FW31" s="86"/>
      <c r="FX31" s="86"/>
      <c r="FY31" s="86"/>
      <c r="FZ31" s="86"/>
      <c r="GA31" s="86"/>
      <c r="GB31" s="86"/>
      <c r="GC31" s="86"/>
      <c r="GD31" s="86"/>
      <c r="GE31" s="86"/>
      <c r="GF31" s="86"/>
      <c r="GG31" s="86"/>
      <c r="GH31" s="86"/>
      <c r="GI31" s="86"/>
      <c r="GJ31" s="86"/>
      <c r="GK31" s="86"/>
      <c r="GL31" s="86"/>
      <c r="GM31" s="86"/>
      <c r="GN31" s="86"/>
      <c r="GO31" s="86"/>
      <c r="GP31" s="86"/>
      <c r="GQ31" s="86"/>
      <c r="GR31" s="86"/>
      <c r="GS31" s="86"/>
      <c r="GT31" s="86"/>
      <c r="GU31" s="86"/>
      <c r="GV31" s="86"/>
      <c r="GW31" s="86"/>
      <c r="GX31" s="86"/>
      <c r="GY31" s="86"/>
      <c r="GZ31" s="86"/>
      <c r="HA31" s="86"/>
      <c r="HB31" s="86"/>
      <c r="HC31" s="86"/>
      <c r="HD31" s="86"/>
      <c r="HE31" s="86"/>
      <c r="HF31" s="86"/>
      <c r="HG31" s="86"/>
      <c r="HH31" s="86"/>
      <c r="HI31" s="86"/>
      <c r="HJ31" s="86"/>
      <c r="HK31" s="86"/>
      <c r="HL31" s="86"/>
      <c r="HM31" s="86"/>
      <c r="HN31" s="86"/>
      <c r="HO31" s="86"/>
      <c r="HP31" s="86"/>
      <c r="HQ31" s="86"/>
      <c r="HR31" s="86"/>
      <c r="HS31" s="86"/>
      <c r="HT31" s="86"/>
      <c r="HU31" s="86"/>
      <c r="HV31" s="86"/>
      <c r="HW31" s="86"/>
      <c r="HX31" s="86"/>
      <c r="HY31" s="86"/>
      <c r="HZ31" s="86"/>
      <c r="IA31" s="86"/>
      <c r="IB31" s="86"/>
      <c r="IC31" s="86"/>
      <c r="ID31" s="86"/>
      <c r="IE31" s="86"/>
      <c r="IF31" s="86"/>
      <c r="IG31" s="86"/>
      <c r="IH31" s="86"/>
      <c r="II31" s="86"/>
      <c r="IJ31" s="86"/>
      <c r="IK31" s="86"/>
      <c r="IL31" s="86"/>
      <c r="IM31" s="86"/>
      <c r="IN31" s="86"/>
      <c r="IO31" s="86"/>
      <c r="IP31" s="86"/>
      <c r="IQ31" s="86"/>
      <c r="IR31" s="86"/>
      <c r="IS31" s="86"/>
      <c r="IT31" s="86"/>
      <c r="IU31" s="86"/>
      <c r="IV31" s="86"/>
      <c r="IW31" s="86"/>
    </row>
    <row r="32" spans="1:257" s="91" customFormat="1" ht="16.2" customHeight="1">
      <c r="A32" s="86"/>
      <c r="B32" s="92">
        <f>$B$1*$B$2+$B$3*965</f>
        <v>43703</v>
      </c>
      <c r="C32" s="92">
        <f>$B$1*$B$2+$B$3*844</f>
        <v>43582</v>
      </c>
      <c r="D32" s="94">
        <f>$B$1*$B$2+$B$3*731</f>
        <v>43469</v>
      </c>
      <c r="E32" s="94">
        <f>$B$1*$B$2+$B$3*626</f>
        <v>43364</v>
      </c>
      <c r="F32" s="113">
        <f>$B$1*$B$2+$B$3*529</f>
        <v>43267</v>
      </c>
      <c r="G32" s="109">
        <f>$B$1*$B$2+$B$3*528</f>
        <v>43266</v>
      </c>
      <c r="H32" s="114">
        <f>$B$1*$B$2+$B$3*527</f>
        <v>43265</v>
      </c>
      <c r="I32" s="114">
        <f>$B$1*$B$2+$B$3*526</f>
        <v>43264</v>
      </c>
      <c r="J32" s="114">
        <f>$B$1*$B$2+$B$3*525</f>
        <v>43263</v>
      </c>
      <c r="K32" s="114">
        <f>$B$1*$B$2+$B$3*524</f>
        <v>43262</v>
      </c>
      <c r="L32" s="114">
        <f>$B$1*$B$2+$B$3*523</f>
        <v>43261</v>
      </c>
      <c r="M32" s="114">
        <f>$B$1*$B$2+$B$3*522</f>
        <v>43260</v>
      </c>
      <c r="N32" s="114">
        <f>$B$1*$B$2+$B$3*521</f>
        <v>43259</v>
      </c>
      <c r="O32" s="114">
        <f>$B$1*$B$2+$B$3*520</f>
        <v>43258</v>
      </c>
      <c r="P32" s="114">
        <f>$B$1*$B$2+$B$3*519</f>
        <v>43257</v>
      </c>
      <c r="Q32" s="114">
        <f>$B$1*$B$2+$B$3*518</f>
        <v>43256</v>
      </c>
      <c r="R32" s="110">
        <f>$B$1*$B$2+$B$3*517</f>
        <v>43255</v>
      </c>
      <c r="S32" s="114">
        <f>$B$1*$B$2+$B$3*516</f>
        <v>43254</v>
      </c>
      <c r="T32" s="114">
        <f>$B$1*$B$2+$B$3*515</f>
        <v>43253</v>
      </c>
      <c r="U32" s="114">
        <f>$B$1*$B$2+$B$3*514</f>
        <v>43252</v>
      </c>
      <c r="V32" s="114">
        <f>$B$1*$B$2+$B$3*513</f>
        <v>43251</v>
      </c>
      <c r="W32" s="114">
        <f>$B$1*$B$2+$B$3*512</f>
        <v>43250</v>
      </c>
      <c r="X32" s="114">
        <f>$B$1*$B$2+$B$3*511</f>
        <v>43249</v>
      </c>
      <c r="Y32" s="114">
        <f>$B$1*$B$2+$B$3*510</f>
        <v>43248</v>
      </c>
      <c r="Z32" s="114">
        <f>$B$1*$B$2+$B$3*509</f>
        <v>43247</v>
      </c>
      <c r="AA32" s="114">
        <f>$B$1*$B$2+$B$3*508</f>
        <v>43246</v>
      </c>
      <c r="AB32" s="114">
        <f>$B$1*$B$2+$B$3*507</f>
        <v>43245</v>
      </c>
      <c r="AC32" s="111">
        <f>$B$1*$B$2+$B$3*506</f>
        <v>43244</v>
      </c>
      <c r="AD32" s="93">
        <f>$B$1*$B$2+$B$3*599</f>
        <v>43337</v>
      </c>
      <c r="AE32" s="93">
        <f>$B$1*$B$2+$B$3*700</f>
        <v>43438</v>
      </c>
      <c r="AF32" s="93">
        <f>$B$1*$B$2+$B$3*809</f>
        <v>43547</v>
      </c>
      <c r="AG32" s="93">
        <f>$B$1*$B$2+$B$3*926</f>
        <v>43664</v>
      </c>
      <c r="AH32" s="92">
        <f>$B$1*$B$2+$B$3*1051</f>
        <v>43789</v>
      </c>
      <c r="AI32" s="86"/>
      <c r="AJ32" s="86"/>
      <c r="AK32" s="86"/>
      <c r="AL32" s="86"/>
      <c r="AM32" s="86"/>
      <c r="AN32" s="86"/>
      <c r="AO32" s="86"/>
      <c r="AP32" s="86"/>
      <c r="AQ32" s="86"/>
      <c r="AR32" s="86"/>
      <c r="AS32" s="86"/>
      <c r="AT32" s="86"/>
      <c r="AU32" s="86"/>
      <c r="AV32" s="86"/>
      <c r="AW32" s="86"/>
      <c r="AX32" s="86"/>
      <c r="AY32" s="86"/>
      <c r="AZ32" s="86"/>
      <c r="BA32" s="86"/>
      <c r="BB32" s="86"/>
      <c r="BC32" s="86"/>
      <c r="BD32" s="86"/>
      <c r="BE32" s="86"/>
      <c r="BF32" s="86"/>
      <c r="BG32" s="86"/>
      <c r="BH32" s="86"/>
      <c r="BI32" s="86"/>
      <c r="BJ32" s="86"/>
      <c r="BK32" s="86"/>
      <c r="BL32" s="86"/>
      <c r="BM32" s="86"/>
      <c r="BN32" s="86"/>
      <c r="BO32" s="86"/>
      <c r="BP32" s="86"/>
      <c r="BQ32" s="86"/>
      <c r="BR32" s="86"/>
      <c r="BS32" s="86"/>
      <c r="BT32" s="86"/>
      <c r="BU32" s="86"/>
      <c r="BV32" s="86"/>
      <c r="BW32" s="86"/>
      <c r="BX32" s="86"/>
      <c r="BY32" s="86"/>
      <c r="BZ32" s="86"/>
      <c r="CA32" s="86"/>
      <c r="CB32" s="86"/>
      <c r="CC32" s="86"/>
      <c r="CD32" s="86"/>
      <c r="CE32" s="86"/>
      <c r="CF32" s="86"/>
      <c r="CG32" s="86"/>
      <c r="CH32" s="86"/>
      <c r="CI32" s="86"/>
      <c r="CJ32" s="86"/>
      <c r="CK32" s="86"/>
      <c r="CL32" s="86"/>
      <c r="CM32" s="86"/>
      <c r="CN32" s="86"/>
      <c r="CO32" s="86"/>
      <c r="CP32" s="86"/>
      <c r="CQ32" s="86"/>
      <c r="CR32" s="86"/>
      <c r="CS32" s="86"/>
      <c r="CT32" s="86"/>
      <c r="CU32" s="86"/>
      <c r="CV32" s="86"/>
      <c r="CW32" s="86"/>
      <c r="CX32" s="86"/>
      <c r="CY32" s="86"/>
      <c r="CZ32" s="86"/>
      <c r="DA32" s="86"/>
      <c r="DB32" s="86"/>
      <c r="DC32" s="86"/>
      <c r="DD32" s="86"/>
      <c r="DE32" s="86"/>
      <c r="DF32" s="86"/>
      <c r="DG32" s="86"/>
      <c r="DH32" s="86"/>
      <c r="DI32" s="86"/>
      <c r="DJ32" s="86"/>
      <c r="DK32" s="86"/>
      <c r="DL32" s="86"/>
      <c r="DM32" s="86"/>
      <c r="DN32" s="86"/>
      <c r="DO32" s="86"/>
      <c r="DP32" s="86"/>
      <c r="DQ32" s="86"/>
      <c r="DR32" s="86"/>
      <c r="DS32" s="86"/>
      <c r="DT32" s="86"/>
      <c r="DU32" s="86"/>
      <c r="DV32" s="86"/>
      <c r="DW32" s="86"/>
      <c r="DX32" s="86"/>
      <c r="DY32" s="86"/>
      <c r="DZ32" s="86"/>
      <c r="EA32" s="86"/>
      <c r="EB32" s="86"/>
      <c r="EC32" s="86"/>
      <c r="ED32" s="86"/>
      <c r="EE32" s="86"/>
      <c r="EF32" s="86"/>
      <c r="EG32" s="86"/>
      <c r="EH32" s="86"/>
      <c r="EI32" s="86"/>
      <c r="EJ32" s="86"/>
      <c r="EK32" s="86"/>
      <c r="EL32" s="86"/>
      <c r="EM32" s="86"/>
      <c r="EN32" s="86"/>
      <c r="EO32" s="86"/>
      <c r="EP32" s="86"/>
      <c r="EQ32" s="86"/>
      <c r="ER32" s="86"/>
      <c r="ES32" s="86"/>
      <c r="ET32" s="86"/>
      <c r="EU32" s="86"/>
      <c r="EV32" s="86"/>
      <c r="EW32" s="86"/>
      <c r="EX32" s="86"/>
      <c r="EY32" s="86"/>
      <c r="EZ32" s="86"/>
      <c r="FA32" s="86"/>
      <c r="FB32" s="86"/>
      <c r="FC32" s="86"/>
      <c r="FD32" s="86"/>
      <c r="FE32" s="86"/>
      <c r="FF32" s="86"/>
      <c r="FG32" s="86"/>
      <c r="FH32" s="86"/>
      <c r="FI32" s="86"/>
      <c r="FJ32" s="86"/>
      <c r="FK32" s="86"/>
      <c r="FL32" s="86"/>
      <c r="FM32" s="86"/>
      <c r="FN32" s="86"/>
      <c r="FO32" s="86"/>
      <c r="FP32" s="86"/>
      <c r="FQ32" s="86"/>
      <c r="FR32" s="86"/>
      <c r="FS32" s="86"/>
      <c r="FT32" s="86"/>
      <c r="FU32" s="86"/>
      <c r="FV32" s="86"/>
      <c r="FW32" s="86"/>
      <c r="FX32" s="86"/>
      <c r="FY32" s="86"/>
      <c r="FZ32" s="86"/>
      <c r="GA32" s="86"/>
      <c r="GB32" s="86"/>
      <c r="GC32" s="86"/>
      <c r="GD32" s="86"/>
      <c r="GE32" s="86"/>
      <c r="GF32" s="86"/>
      <c r="GG32" s="86"/>
      <c r="GH32" s="86"/>
      <c r="GI32" s="86"/>
      <c r="GJ32" s="86"/>
      <c r="GK32" s="86"/>
      <c r="GL32" s="86"/>
      <c r="GM32" s="86"/>
      <c r="GN32" s="86"/>
      <c r="GO32" s="86"/>
      <c r="GP32" s="86"/>
      <c r="GQ32" s="86"/>
      <c r="GR32" s="86"/>
      <c r="GS32" s="86"/>
      <c r="GT32" s="86"/>
      <c r="GU32" s="86"/>
      <c r="GV32" s="86"/>
      <c r="GW32" s="86"/>
      <c r="GX32" s="86"/>
      <c r="GY32" s="86"/>
      <c r="GZ32" s="86"/>
      <c r="HA32" s="86"/>
      <c r="HB32" s="86"/>
      <c r="HC32" s="86"/>
      <c r="HD32" s="86"/>
      <c r="HE32" s="86"/>
      <c r="HF32" s="86"/>
      <c r="HG32" s="86"/>
      <c r="HH32" s="86"/>
      <c r="HI32" s="86"/>
      <c r="HJ32" s="86"/>
      <c r="HK32" s="86"/>
      <c r="HL32" s="86"/>
      <c r="HM32" s="86"/>
      <c r="HN32" s="86"/>
      <c r="HO32" s="86"/>
      <c r="HP32" s="86"/>
      <c r="HQ32" s="86"/>
      <c r="HR32" s="86"/>
      <c r="HS32" s="86"/>
      <c r="HT32" s="86"/>
      <c r="HU32" s="86"/>
      <c r="HV32" s="86"/>
      <c r="HW32" s="86"/>
      <c r="HX32" s="86"/>
      <c r="HY32" s="86"/>
      <c r="HZ32" s="86"/>
      <c r="IA32" s="86"/>
      <c r="IB32" s="86"/>
      <c r="IC32" s="86"/>
      <c r="ID32" s="86"/>
      <c r="IE32" s="86"/>
      <c r="IF32" s="86"/>
      <c r="IG32" s="86"/>
      <c r="IH32" s="86"/>
      <c r="II32" s="86"/>
      <c r="IJ32" s="86"/>
      <c r="IK32" s="86"/>
      <c r="IL32" s="86"/>
      <c r="IM32" s="86"/>
      <c r="IN32" s="86"/>
      <c r="IO32" s="86"/>
      <c r="IP32" s="86"/>
      <c r="IQ32" s="86"/>
      <c r="IR32" s="86"/>
      <c r="IS32" s="86"/>
      <c r="IT32" s="86"/>
      <c r="IU32" s="86"/>
      <c r="IV32" s="86"/>
      <c r="IW32" s="86"/>
    </row>
    <row r="33" spans="1:257" s="91" customFormat="1" ht="16.2" customHeight="1">
      <c r="A33" s="86"/>
      <c r="B33" s="92">
        <f>$B$1*$B$2+$B$3*964</f>
        <v>43702</v>
      </c>
      <c r="C33" s="92">
        <f>$B$1*$B$2+$B$3*843</f>
        <v>43581</v>
      </c>
      <c r="D33" s="94">
        <f>$B$1*$B$2+$B$3*730</f>
        <v>43468</v>
      </c>
      <c r="E33" s="113">
        <f>$B$1*$B$2+$B$3*625</f>
        <v>43363</v>
      </c>
      <c r="F33" s="109">
        <f>$B$1*$B$2+$B$3*624</f>
        <v>43362</v>
      </c>
      <c r="G33" s="114">
        <f>$B$1*$B$2+$B$3*623</f>
        <v>43361</v>
      </c>
      <c r="H33" s="114">
        <f>$B$1*$B$2+$B$3*622</f>
        <v>43360</v>
      </c>
      <c r="I33" s="114">
        <f>$B$1*$B$2+$B$3*621</f>
        <v>43359</v>
      </c>
      <c r="J33" s="114">
        <f>$B$1*$B$2+$B$3*620</f>
        <v>43358</v>
      </c>
      <c r="K33" s="114">
        <f>$B$1*$B$2+$B$3*619</f>
        <v>43357</v>
      </c>
      <c r="L33" s="110">
        <f>$B$1*$B$2+$B$3*618</f>
        <v>43356</v>
      </c>
      <c r="M33" s="114">
        <f>$B$1*$B$2+$B$3*617</f>
        <v>43355</v>
      </c>
      <c r="N33" s="114">
        <f>$B$1*$B$2+$B$3*616</f>
        <v>43354</v>
      </c>
      <c r="O33" s="114">
        <f>$B$1*$B$2+$B$3*615</f>
        <v>43353</v>
      </c>
      <c r="P33" s="114">
        <f>$B$1*$B$2+$B$3*614</f>
        <v>43352</v>
      </c>
      <c r="Q33" s="114">
        <f>$B$1*$B$2+$B$3*613</f>
        <v>43351</v>
      </c>
      <c r="R33" s="110">
        <f>$B$1*$B$2+$B$3*612</f>
        <v>43350</v>
      </c>
      <c r="S33" s="114">
        <f>$B$1*$B$2+$B$3*611</f>
        <v>43349</v>
      </c>
      <c r="T33" s="114">
        <f>$B$1*$B$2+$B$3*610</f>
        <v>43348</v>
      </c>
      <c r="U33" s="114">
        <f>$B$1*$B$2+$B$3*609</f>
        <v>43347</v>
      </c>
      <c r="V33" s="114">
        <f>$B$1*$B$2+$B$3*608</f>
        <v>43346</v>
      </c>
      <c r="W33" s="114">
        <f>$B$1*$B$2+$B$3*607</f>
        <v>43345</v>
      </c>
      <c r="X33" s="110">
        <f>$B$1*$B$2+$B$3*606</f>
        <v>43344</v>
      </c>
      <c r="Y33" s="114">
        <f>$B$1*$B$2+$B$3*605</f>
        <v>43343</v>
      </c>
      <c r="Z33" s="114">
        <f>$B$1*$B$2+$B$3*604</f>
        <v>43342</v>
      </c>
      <c r="AA33" s="114">
        <f>$B$1*$B$2+$B$3*603</f>
        <v>43341</v>
      </c>
      <c r="AB33" s="114">
        <f>$B$1*$B$2+$B$3*602</f>
        <v>43340</v>
      </c>
      <c r="AC33" s="114">
        <f>$B$1*$B$2+$B$3*601</f>
        <v>43339</v>
      </c>
      <c r="AD33" s="111">
        <f>$B$1*$B$2+$B$3*600</f>
        <v>43338</v>
      </c>
      <c r="AE33" s="93">
        <f>$B$1*$B$2+$B$3*701</f>
        <v>43439</v>
      </c>
      <c r="AF33" s="93">
        <f>$B$1*$B$2+$B$3*810</f>
        <v>43548</v>
      </c>
      <c r="AG33" s="93">
        <f>$B$1*$B$2+$B$3*927</f>
        <v>43665</v>
      </c>
      <c r="AH33" s="92">
        <f>$B$1*$B$2+$B$3*1052</f>
        <v>43790</v>
      </c>
      <c r="AI33" s="86"/>
      <c r="AJ33" s="86"/>
      <c r="AK33" s="86"/>
      <c r="AL33" s="86"/>
      <c r="AM33" s="86"/>
      <c r="AN33" s="86"/>
      <c r="AO33" s="86"/>
      <c r="AP33" s="86"/>
      <c r="AQ33" s="86"/>
      <c r="AR33" s="86"/>
      <c r="AS33" s="86"/>
      <c r="AT33" s="86"/>
      <c r="AU33" s="86"/>
      <c r="AV33" s="86"/>
      <c r="AW33" s="86"/>
      <c r="AX33" s="86"/>
      <c r="AY33" s="86"/>
      <c r="AZ33" s="86"/>
      <c r="BA33" s="86"/>
      <c r="BB33" s="86"/>
      <c r="BC33" s="86"/>
      <c r="BD33" s="86"/>
      <c r="BE33" s="86"/>
      <c r="BF33" s="86"/>
      <c r="BG33" s="86"/>
      <c r="BH33" s="86"/>
      <c r="BI33" s="86"/>
      <c r="BJ33" s="86"/>
      <c r="BK33" s="86"/>
      <c r="BL33" s="86"/>
      <c r="BM33" s="86"/>
      <c r="BN33" s="86"/>
      <c r="BO33" s="86"/>
      <c r="BP33" s="86"/>
      <c r="BQ33" s="86"/>
      <c r="BR33" s="86"/>
      <c r="BS33" s="86"/>
      <c r="BT33" s="86"/>
      <c r="BU33" s="86"/>
      <c r="BV33" s="86"/>
      <c r="BW33" s="86"/>
      <c r="BX33" s="86"/>
      <c r="BY33" s="86"/>
      <c r="BZ33" s="86"/>
      <c r="CA33" s="86"/>
      <c r="CB33" s="86"/>
      <c r="CC33" s="86"/>
      <c r="CD33" s="86"/>
      <c r="CE33" s="86"/>
      <c r="CF33" s="86"/>
      <c r="CG33" s="86"/>
      <c r="CH33" s="86"/>
      <c r="CI33" s="86"/>
      <c r="CJ33" s="86"/>
      <c r="CK33" s="86"/>
      <c r="CL33" s="86"/>
      <c r="CM33" s="86"/>
      <c r="CN33" s="86"/>
      <c r="CO33" s="86"/>
      <c r="CP33" s="86"/>
      <c r="CQ33" s="86"/>
      <c r="CR33" s="86"/>
      <c r="CS33" s="86"/>
      <c r="CT33" s="86"/>
      <c r="CU33" s="86"/>
      <c r="CV33" s="86"/>
      <c r="CW33" s="86"/>
      <c r="CX33" s="86"/>
      <c r="CY33" s="86"/>
      <c r="CZ33" s="86"/>
      <c r="DA33" s="86"/>
      <c r="DB33" s="86"/>
      <c r="DC33" s="86"/>
      <c r="DD33" s="86"/>
      <c r="DE33" s="86"/>
      <c r="DF33" s="86"/>
      <c r="DG33" s="86"/>
      <c r="DH33" s="86"/>
      <c r="DI33" s="86"/>
      <c r="DJ33" s="86"/>
      <c r="DK33" s="86"/>
      <c r="DL33" s="86"/>
      <c r="DM33" s="86"/>
      <c r="DN33" s="86"/>
      <c r="DO33" s="86"/>
      <c r="DP33" s="86"/>
      <c r="DQ33" s="86"/>
      <c r="DR33" s="86"/>
      <c r="DS33" s="86"/>
      <c r="DT33" s="86"/>
      <c r="DU33" s="86"/>
      <c r="DV33" s="86"/>
      <c r="DW33" s="86"/>
      <c r="DX33" s="86"/>
      <c r="DY33" s="86"/>
      <c r="DZ33" s="86"/>
      <c r="EA33" s="86"/>
      <c r="EB33" s="86"/>
      <c r="EC33" s="86"/>
      <c r="ED33" s="86"/>
      <c r="EE33" s="86"/>
      <c r="EF33" s="86"/>
      <c r="EG33" s="86"/>
      <c r="EH33" s="86"/>
      <c r="EI33" s="86"/>
      <c r="EJ33" s="86"/>
      <c r="EK33" s="86"/>
      <c r="EL33" s="86"/>
      <c r="EM33" s="86"/>
      <c r="EN33" s="86"/>
      <c r="EO33" s="86"/>
      <c r="EP33" s="86"/>
      <c r="EQ33" s="86"/>
      <c r="ER33" s="86"/>
      <c r="ES33" s="86"/>
      <c r="ET33" s="86"/>
      <c r="EU33" s="86"/>
      <c r="EV33" s="86"/>
      <c r="EW33" s="86"/>
      <c r="EX33" s="86"/>
      <c r="EY33" s="86"/>
      <c r="EZ33" s="86"/>
      <c r="FA33" s="86"/>
      <c r="FB33" s="86"/>
      <c r="FC33" s="86"/>
      <c r="FD33" s="86"/>
      <c r="FE33" s="86"/>
      <c r="FF33" s="86"/>
      <c r="FG33" s="86"/>
      <c r="FH33" s="86"/>
      <c r="FI33" s="86"/>
      <c r="FJ33" s="86"/>
      <c r="FK33" s="86"/>
      <c r="FL33" s="86"/>
      <c r="FM33" s="86"/>
      <c r="FN33" s="86"/>
      <c r="FO33" s="86"/>
      <c r="FP33" s="86"/>
      <c r="FQ33" s="86"/>
      <c r="FR33" s="86"/>
      <c r="FS33" s="86"/>
      <c r="FT33" s="86"/>
      <c r="FU33" s="86"/>
      <c r="FV33" s="86"/>
      <c r="FW33" s="86"/>
      <c r="FX33" s="86"/>
      <c r="FY33" s="86"/>
      <c r="FZ33" s="86"/>
      <c r="GA33" s="86"/>
      <c r="GB33" s="86"/>
      <c r="GC33" s="86"/>
      <c r="GD33" s="86"/>
      <c r="GE33" s="86"/>
      <c r="GF33" s="86"/>
      <c r="GG33" s="86"/>
      <c r="GH33" s="86"/>
      <c r="GI33" s="86"/>
      <c r="GJ33" s="86"/>
      <c r="GK33" s="86"/>
      <c r="GL33" s="86"/>
      <c r="GM33" s="86"/>
      <c r="GN33" s="86"/>
      <c r="GO33" s="86"/>
      <c r="GP33" s="86"/>
      <c r="GQ33" s="86"/>
      <c r="GR33" s="86"/>
      <c r="GS33" s="86"/>
      <c r="GT33" s="86"/>
      <c r="GU33" s="86"/>
      <c r="GV33" s="86"/>
      <c r="GW33" s="86"/>
      <c r="GX33" s="86"/>
      <c r="GY33" s="86"/>
      <c r="GZ33" s="86"/>
      <c r="HA33" s="86"/>
      <c r="HB33" s="86"/>
      <c r="HC33" s="86"/>
      <c r="HD33" s="86"/>
      <c r="HE33" s="86"/>
      <c r="HF33" s="86"/>
      <c r="HG33" s="86"/>
      <c r="HH33" s="86"/>
      <c r="HI33" s="86"/>
      <c r="HJ33" s="86"/>
      <c r="HK33" s="86"/>
      <c r="HL33" s="86"/>
      <c r="HM33" s="86"/>
      <c r="HN33" s="86"/>
      <c r="HO33" s="86"/>
      <c r="HP33" s="86"/>
      <c r="HQ33" s="86"/>
      <c r="HR33" s="86"/>
      <c r="HS33" s="86"/>
      <c r="HT33" s="86"/>
      <c r="HU33" s="86"/>
      <c r="HV33" s="86"/>
      <c r="HW33" s="86"/>
      <c r="HX33" s="86"/>
      <c r="HY33" s="86"/>
      <c r="HZ33" s="86"/>
      <c r="IA33" s="86"/>
      <c r="IB33" s="86"/>
      <c r="IC33" s="86"/>
      <c r="ID33" s="86"/>
      <c r="IE33" s="86"/>
      <c r="IF33" s="86"/>
      <c r="IG33" s="86"/>
      <c r="IH33" s="86"/>
      <c r="II33" s="86"/>
      <c r="IJ33" s="86"/>
      <c r="IK33" s="86"/>
      <c r="IL33" s="86"/>
      <c r="IM33" s="86"/>
      <c r="IN33" s="86"/>
      <c r="IO33" s="86"/>
      <c r="IP33" s="86"/>
      <c r="IQ33" s="86"/>
      <c r="IR33" s="86"/>
      <c r="IS33" s="86"/>
      <c r="IT33" s="86"/>
      <c r="IU33" s="86"/>
      <c r="IV33" s="86"/>
      <c r="IW33" s="86"/>
    </row>
    <row r="34" spans="1:257" s="91" customFormat="1" ht="16.2" customHeight="1">
      <c r="A34" s="86"/>
      <c r="B34" s="92">
        <f>$B$1*$B$2+$B$3*963</f>
        <v>43701</v>
      </c>
      <c r="C34" s="92">
        <f>$B$1*$B$2+$B$3*842</f>
        <v>43580</v>
      </c>
      <c r="D34" s="113">
        <f>$B$1*$B$2+$B$3*729</f>
        <v>43467</v>
      </c>
      <c r="E34" s="109">
        <f>$B$1*$B$2+$B$3*728</f>
        <v>43466</v>
      </c>
      <c r="F34" s="114">
        <f>$B$1*$B$2+$B$3*727</f>
        <v>43465</v>
      </c>
      <c r="G34" s="114">
        <f>$B$1*$B$2+$B$3*726</f>
        <v>43464</v>
      </c>
      <c r="H34" s="114">
        <f>$B$1*$B$2+$B$3*725</f>
        <v>43463</v>
      </c>
      <c r="I34" s="114">
        <f>$B$1*$B$2+$B$3*724</f>
        <v>43462</v>
      </c>
      <c r="J34" s="114">
        <f>$B$1*$B$2+$B$3*723</f>
        <v>43461</v>
      </c>
      <c r="K34" s="114">
        <f>$B$1*$B$2+$B$3*722</f>
        <v>43460</v>
      </c>
      <c r="L34" s="114">
        <f>$B$1*$B$2+$B$3*721</f>
        <v>43459</v>
      </c>
      <c r="M34" s="114">
        <f>$B$1*$B$2+$B$3*720</f>
        <v>43458</v>
      </c>
      <c r="N34" s="114">
        <f>$B$1*$B$2+$B$3*719</f>
        <v>43457</v>
      </c>
      <c r="O34" s="114">
        <f>$B$1*$B$2+$B$3*718</f>
        <v>43456</v>
      </c>
      <c r="P34" s="114">
        <f>$B$1*$B$2+$B$3*717</f>
        <v>43455</v>
      </c>
      <c r="Q34" s="114">
        <f>$B$1*$B$2+$B$3*716</f>
        <v>43454</v>
      </c>
      <c r="R34" s="110">
        <f>$B$1*$B$2+$B$3*715</f>
        <v>43453</v>
      </c>
      <c r="S34" s="114">
        <f>$B$1*$B$2+$B$3*714</f>
        <v>43452</v>
      </c>
      <c r="T34" s="114">
        <f>$B$1*$B$2+$B$3*713</f>
        <v>43451</v>
      </c>
      <c r="U34" s="114">
        <f>$B$1*$B$2+$B$3*712</f>
        <v>43450</v>
      </c>
      <c r="V34" s="114">
        <f>$B$1*$B$2+$B$3*711</f>
        <v>43449</v>
      </c>
      <c r="W34" s="114">
        <f>$B$1*$B$2+$B$3*710</f>
        <v>43448</v>
      </c>
      <c r="X34" s="114">
        <f>$B$1*$B$2+$B$3*709</f>
        <v>43447</v>
      </c>
      <c r="Y34" s="114">
        <f>$B$1*$B$2+$B$3*708</f>
        <v>43446</v>
      </c>
      <c r="Z34" s="114">
        <f>$B$1*$B$2+$B$3*707</f>
        <v>43445</v>
      </c>
      <c r="AA34" s="114">
        <f>$B$1*$B$2+$B$3*706</f>
        <v>43444</v>
      </c>
      <c r="AB34" s="114">
        <f>$B$1*$B$2+$B$3*705</f>
        <v>43443</v>
      </c>
      <c r="AC34" s="114">
        <f>$B$1*$B$2+$B$3*704</f>
        <v>43442</v>
      </c>
      <c r="AD34" s="114">
        <f>$B$1*$B$2+$B$3*703</f>
        <v>43441</v>
      </c>
      <c r="AE34" s="111">
        <f>$B$1*$B$2+$B$3*702</f>
        <v>43440</v>
      </c>
      <c r="AF34" s="93">
        <f>$B$1*$B$2+$B$3*811</f>
        <v>43549</v>
      </c>
      <c r="AG34" s="93">
        <f>$B$1*$B$2+$B$3*928</f>
        <v>43666</v>
      </c>
      <c r="AH34" s="92">
        <f>$B$1*$B$2+$B$3*1053</f>
        <v>43791</v>
      </c>
      <c r="AI34" s="86"/>
      <c r="AJ34" s="86"/>
      <c r="AK34" s="86"/>
      <c r="AL34" s="86"/>
      <c r="AM34" s="86"/>
      <c r="AN34" s="86"/>
      <c r="AO34" s="86"/>
      <c r="AP34" s="86"/>
      <c r="AQ34" s="86"/>
      <c r="AR34" s="86"/>
      <c r="AS34" s="86"/>
      <c r="AT34" s="86"/>
      <c r="AU34" s="86"/>
      <c r="AV34" s="86"/>
      <c r="AW34" s="86"/>
      <c r="AX34" s="86"/>
      <c r="AY34" s="86"/>
      <c r="AZ34" s="86"/>
      <c r="BA34" s="86"/>
      <c r="BB34" s="86"/>
      <c r="BC34" s="86"/>
      <c r="BD34" s="86"/>
      <c r="BE34" s="86"/>
      <c r="BF34" s="86"/>
      <c r="BG34" s="86"/>
      <c r="BH34" s="86"/>
      <c r="BI34" s="86"/>
      <c r="BJ34" s="86"/>
      <c r="BK34" s="86"/>
      <c r="BL34" s="86"/>
      <c r="BM34" s="86"/>
      <c r="BN34" s="86"/>
      <c r="BO34" s="86"/>
      <c r="BP34" s="86"/>
      <c r="BQ34" s="86"/>
      <c r="BR34" s="86"/>
      <c r="BS34" s="86"/>
      <c r="BT34" s="86"/>
      <c r="BU34" s="86"/>
      <c r="BV34" s="86"/>
      <c r="BW34" s="86"/>
      <c r="BX34" s="86"/>
      <c r="BY34" s="86"/>
      <c r="BZ34" s="86"/>
      <c r="CA34" s="86"/>
      <c r="CB34" s="86"/>
      <c r="CC34" s="86"/>
      <c r="CD34" s="86"/>
      <c r="CE34" s="86"/>
      <c r="CF34" s="86"/>
      <c r="CG34" s="86"/>
      <c r="CH34" s="86"/>
      <c r="CI34" s="86"/>
      <c r="CJ34" s="86"/>
      <c r="CK34" s="86"/>
      <c r="CL34" s="86"/>
      <c r="CM34" s="86"/>
      <c r="CN34" s="86"/>
      <c r="CO34" s="86"/>
      <c r="CP34" s="86"/>
      <c r="CQ34" s="86"/>
      <c r="CR34" s="86"/>
      <c r="CS34" s="86"/>
      <c r="CT34" s="86"/>
      <c r="CU34" s="86"/>
      <c r="CV34" s="86"/>
      <c r="CW34" s="86"/>
      <c r="CX34" s="86"/>
      <c r="CY34" s="86"/>
      <c r="CZ34" s="86"/>
      <c r="DA34" s="86"/>
      <c r="DB34" s="86"/>
      <c r="DC34" s="86"/>
      <c r="DD34" s="86"/>
      <c r="DE34" s="86"/>
      <c r="DF34" s="86"/>
      <c r="DG34" s="86"/>
      <c r="DH34" s="86"/>
      <c r="DI34" s="86"/>
      <c r="DJ34" s="86"/>
      <c r="DK34" s="86"/>
      <c r="DL34" s="86"/>
      <c r="DM34" s="86"/>
      <c r="DN34" s="86"/>
      <c r="DO34" s="86"/>
      <c r="DP34" s="86"/>
      <c r="DQ34" s="86"/>
      <c r="DR34" s="86"/>
      <c r="DS34" s="86"/>
      <c r="DT34" s="86"/>
      <c r="DU34" s="86"/>
      <c r="DV34" s="86"/>
      <c r="DW34" s="86"/>
      <c r="DX34" s="86"/>
      <c r="DY34" s="86"/>
      <c r="DZ34" s="86"/>
      <c r="EA34" s="86"/>
      <c r="EB34" s="86"/>
      <c r="EC34" s="86"/>
      <c r="ED34" s="86"/>
      <c r="EE34" s="86"/>
      <c r="EF34" s="86"/>
      <c r="EG34" s="86"/>
      <c r="EH34" s="86"/>
      <c r="EI34" s="86"/>
      <c r="EJ34" s="86"/>
      <c r="EK34" s="86"/>
      <c r="EL34" s="86"/>
      <c r="EM34" s="86"/>
      <c r="EN34" s="86"/>
      <c r="EO34" s="86"/>
      <c r="EP34" s="86"/>
      <c r="EQ34" s="86"/>
      <c r="ER34" s="86"/>
      <c r="ES34" s="86"/>
      <c r="ET34" s="86"/>
      <c r="EU34" s="86"/>
      <c r="EV34" s="86"/>
      <c r="EW34" s="86"/>
      <c r="EX34" s="86"/>
      <c r="EY34" s="86"/>
      <c r="EZ34" s="86"/>
      <c r="FA34" s="86"/>
      <c r="FB34" s="86"/>
      <c r="FC34" s="86"/>
      <c r="FD34" s="86"/>
      <c r="FE34" s="86"/>
      <c r="FF34" s="86"/>
      <c r="FG34" s="86"/>
      <c r="FH34" s="86"/>
      <c r="FI34" s="86"/>
      <c r="FJ34" s="86"/>
      <c r="FK34" s="86"/>
      <c r="FL34" s="86"/>
      <c r="FM34" s="86"/>
      <c r="FN34" s="86"/>
      <c r="FO34" s="86"/>
      <c r="FP34" s="86"/>
      <c r="FQ34" s="86"/>
      <c r="FR34" s="86"/>
      <c r="FS34" s="86"/>
      <c r="FT34" s="86"/>
      <c r="FU34" s="86"/>
      <c r="FV34" s="86"/>
      <c r="FW34" s="86"/>
      <c r="FX34" s="86"/>
      <c r="FY34" s="86"/>
      <c r="FZ34" s="86"/>
      <c r="GA34" s="86"/>
      <c r="GB34" s="86"/>
      <c r="GC34" s="86"/>
      <c r="GD34" s="86"/>
      <c r="GE34" s="86"/>
      <c r="GF34" s="86"/>
      <c r="GG34" s="86"/>
      <c r="GH34" s="86"/>
      <c r="GI34" s="86"/>
      <c r="GJ34" s="86"/>
      <c r="GK34" s="86"/>
      <c r="GL34" s="86"/>
      <c r="GM34" s="86"/>
      <c r="GN34" s="86"/>
      <c r="GO34" s="86"/>
      <c r="GP34" s="86"/>
      <c r="GQ34" s="86"/>
      <c r="GR34" s="86"/>
      <c r="GS34" s="86"/>
      <c r="GT34" s="86"/>
      <c r="GU34" s="86"/>
      <c r="GV34" s="86"/>
      <c r="GW34" s="86"/>
      <c r="GX34" s="86"/>
      <c r="GY34" s="86"/>
      <c r="GZ34" s="86"/>
      <c r="HA34" s="86"/>
      <c r="HB34" s="86"/>
      <c r="HC34" s="86"/>
      <c r="HD34" s="86"/>
      <c r="HE34" s="86"/>
      <c r="HF34" s="86"/>
      <c r="HG34" s="86"/>
      <c r="HH34" s="86"/>
      <c r="HI34" s="86"/>
      <c r="HJ34" s="86"/>
      <c r="HK34" s="86"/>
      <c r="HL34" s="86"/>
      <c r="HM34" s="86"/>
      <c r="HN34" s="86"/>
      <c r="HO34" s="86"/>
      <c r="HP34" s="86"/>
      <c r="HQ34" s="86"/>
      <c r="HR34" s="86"/>
      <c r="HS34" s="86"/>
      <c r="HT34" s="86"/>
      <c r="HU34" s="86"/>
      <c r="HV34" s="86"/>
      <c r="HW34" s="86"/>
      <c r="HX34" s="86"/>
      <c r="HY34" s="86"/>
      <c r="HZ34" s="86"/>
      <c r="IA34" s="86"/>
      <c r="IB34" s="86"/>
      <c r="IC34" s="86"/>
      <c r="ID34" s="86"/>
      <c r="IE34" s="86"/>
      <c r="IF34" s="86"/>
      <c r="IG34" s="86"/>
      <c r="IH34" s="86"/>
      <c r="II34" s="86"/>
      <c r="IJ34" s="86"/>
      <c r="IK34" s="86"/>
      <c r="IL34" s="86"/>
      <c r="IM34" s="86"/>
      <c r="IN34" s="86"/>
      <c r="IO34" s="86"/>
      <c r="IP34" s="86"/>
      <c r="IQ34" s="86"/>
      <c r="IR34" s="86"/>
      <c r="IS34" s="86"/>
      <c r="IT34" s="86"/>
      <c r="IU34" s="86"/>
      <c r="IV34" s="86"/>
      <c r="IW34" s="86"/>
    </row>
    <row r="35" spans="1:257" s="91" customFormat="1" ht="16.2" customHeight="1">
      <c r="A35" s="86"/>
      <c r="B35" s="92">
        <f>$B$1*$B$2+$B$3*962</f>
        <v>43700</v>
      </c>
      <c r="C35" s="113">
        <f>$B$1*$B$2+$B$3*841</f>
        <v>43579</v>
      </c>
      <c r="D35" s="109">
        <f>$B$1*$B$2+$B$3*840</f>
        <v>43578</v>
      </c>
      <c r="E35" s="114">
        <f>$B$1*$B$2+$B$3*839</f>
        <v>43577</v>
      </c>
      <c r="F35" s="114">
        <f>$B$1*$B$2+$B$3*838</f>
        <v>43576</v>
      </c>
      <c r="G35" s="114">
        <f>$B$1*$B$2+$B$3*837</f>
        <v>43575</v>
      </c>
      <c r="H35" s="114">
        <f>$B$1*$B$2+$B$3*836</f>
        <v>43574</v>
      </c>
      <c r="I35" s="114">
        <f>$B$1*$B$2+$B$3*835</f>
        <v>43573</v>
      </c>
      <c r="J35" s="114">
        <f>$B$1*$B$2+$B$3*834</f>
        <v>43572</v>
      </c>
      <c r="K35" s="110">
        <f>$B$1*$B$2+$B$3*833</f>
        <v>43571</v>
      </c>
      <c r="L35" s="114">
        <f>$B$1*$B$2+$B$3*832</f>
        <v>43570</v>
      </c>
      <c r="M35" s="114">
        <f>$B$1*$B$2+$B$3*831</f>
        <v>43569</v>
      </c>
      <c r="N35" s="114">
        <f>$B$1*$B$2+$B$3*830</f>
        <v>43568</v>
      </c>
      <c r="O35" s="114">
        <f>$B$1*$B$2+$B$3*829</f>
        <v>43567</v>
      </c>
      <c r="P35" s="114">
        <f>$B$1*$B$2+$B$3*828</f>
        <v>43566</v>
      </c>
      <c r="Q35" s="114">
        <f>$B$1*$B$2+$B$3*827</f>
        <v>43565</v>
      </c>
      <c r="R35" s="110">
        <f>$B$1*$B$2+$B$3*826</f>
        <v>43564</v>
      </c>
      <c r="S35" s="114">
        <f>$B$1*$B$2+$B$3*825</f>
        <v>43563</v>
      </c>
      <c r="T35" s="114">
        <f>$B$1*$B$2+$B$3*824</f>
        <v>43562</v>
      </c>
      <c r="U35" s="114">
        <f>$B$1*$B$2+$B$3*823</f>
        <v>43561</v>
      </c>
      <c r="V35" s="114">
        <f>$B$1*$B$2+$B$3*822</f>
        <v>43560</v>
      </c>
      <c r="W35" s="114">
        <f>$B$1*$B$2+$B$3*821</f>
        <v>43559</v>
      </c>
      <c r="X35" s="114">
        <f>$B$1*$B$2+$B$3*820</f>
        <v>43558</v>
      </c>
      <c r="Y35" s="110">
        <f>$B$1*$B$2+$B$3*819</f>
        <v>43557</v>
      </c>
      <c r="Z35" s="114">
        <f>$B$1*$B$2+$B$3*818</f>
        <v>43556</v>
      </c>
      <c r="AA35" s="114">
        <f>$B$1*$B$2+$B$3*817</f>
        <v>43555</v>
      </c>
      <c r="AB35" s="114">
        <f>$B$1*$B$2+$B$3*816</f>
        <v>43554</v>
      </c>
      <c r="AC35" s="114">
        <f>$B$1*$B$2+$B$3*815</f>
        <v>43553</v>
      </c>
      <c r="AD35" s="114">
        <f>$B$1*$B$2+$B$3*814</f>
        <v>43552</v>
      </c>
      <c r="AE35" s="114">
        <f>$B$1*$B$2+$B$3*813</f>
        <v>43551</v>
      </c>
      <c r="AF35" s="111">
        <f>$B$1*$B$2+$B$3*812</f>
        <v>43550</v>
      </c>
      <c r="AG35" s="93">
        <f>$B$1*$B$2+$B$3*929</f>
        <v>43667</v>
      </c>
      <c r="AH35" s="92">
        <f>$B$1*$B$2+$B$3*1054</f>
        <v>43792</v>
      </c>
      <c r="AI35" s="86"/>
      <c r="AJ35" s="86"/>
      <c r="AK35" s="86"/>
      <c r="AL35" s="86"/>
      <c r="AM35" s="86"/>
      <c r="AN35" s="86"/>
      <c r="AO35" s="86"/>
      <c r="AP35" s="86"/>
      <c r="AQ35" s="86"/>
      <c r="AR35" s="86"/>
      <c r="AS35" s="86"/>
      <c r="AT35" s="86"/>
      <c r="AU35" s="86"/>
      <c r="AV35" s="86"/>
      <c r="AW35" s="86"/>
      <c r="AX35" s="86"/>
      <c r="AY35" s="86"/>
      <c r="AZ35" s="86"/>
      <c r="BA35" s="86"/>
      <c r="BB35" s="86"/>
      <c r="BC35" s="86"/>
      <c r="BD35" s="86"/>
      <c r="BE35" s="86"/>
      <c r="BF35" s="86"/>
      <c r="BG35" s="86"/>
      <c r="BH35" s="86"/>
      <c r="BI35" s="86"/>
      <c r="BJ35" s="86"/>
      <c r="BK35" s="86"/>
      <c r="BL35" s="86"/>
      <c r="BM35" s="86"/>
      <c r="BN35" s="86"/>
      <c r="BO35" s="86"/>
      <c r="BP35" s="86"/>
      <c r="BQ35" s="86"/>
      <c r="BR35" s="86"/>
      <c r="BS35" s="86"/>
      <c r="BT35" s="86"/>
      <c r="BU35" s="86"/>
      <c r="BV35" s="86"/>
      <c r="BW35" s="86"/>
      <c r="BX35" s="86"/>
      <c r="BY35" s="86"/>
      <c r="BZ35" s="86"/>
      <c r="CA35" s="86"/>
      <c r="CB35" s="86"/>
      <c r="CC35" s="86"/>
      <c r="CD35" s="86"/>
      <c r="CE35" s="86"/>
      <c r="CF35" s="86"/>
      <c r="CG35" s="86"/>
      <c r="CH35" s="86"/>
      <c r="CI35" s="86"/>
      <c r="CJ35" s="86"/>
      <c r="CK35" s="86"/>
      <c r="CL35" s="86"/>
      <c r="CM35" s="86"/>
      <c r="CN35" s="86"/>
      <c r="CO35" s="86"/>
      <c r="CP35" s="86"/>
      <c r="CQ35" s="86"/>
      <c r="CR35" s="86"/>
      <c r="CS35" s="86"/>
      <c r="CT35" s="86"/>
      <c r="CU35" s="86"/>
      <c r="CV35" s="86"/>
      <c r="CW35" s="86"/>
      <c r="CX35" s="86"/>
      <c r="CY35" s="86"/>
      <c r="CZ35" s="86"/>
      <c r="DA35" s="86"/>
      <c r="DB35" s="86"/>
      <c r="DC35" s="86"/>
      <c r="DD35" s="86"/>
      <c r="DE35" s="86"/>
      <c r="DF35" s="86"/>
      <c r="DG35" s="86"/>
      <c r="DH35" s="86"/>
      <c r="DI35" s="86"/>
      <c r="DJ35" s="86"/>
      <c r="DK35" s="86"/>
      <c r="DL35" s="86"/>
      <c r="DM35" s="86"/>
      <c r="DN35" s="86"/>
      <c r="DO35" s="86"/>
      <c r="DP35" s="86"/>
      <c r="DQ35" s="86"/>
      <c r="DR35" s="86"/>
      <c r="DS35" s="86"/>
      <c r="DT35" s="86"/>
      <c r="DU35" s="86"/>
      <c r="DV35" s="86"/>
      <c r="DW35" s="86"/>
      <c r="DX35" s="86"/>
      <c r="DY35" s="86"/>
      <c r="DZ35" s="86"/>
      <c r="EA35" s="86"/>
      <c r="EB35" s="86"/>
      <c r="EC35" s="86"/>
      <c r="ED35" s="86"/>
      <c r="EE35" s="86"/>
      <c r="EF35" s="86"/>
      <c r="EG35" s="86"/>
      <c r="EH35" s="86"/>
      <c r="EI35" s="86"/>
      <c r="EJ35" s="86"/>
      <c r="EK35" s="86"/>
      <c r="EL35" s="86"/>
      <c r="EM35" s="86"/>
      <c r="EN35" s="86"/>
      <c r="EO35" s="86"/>
      <c r="EP35" s="86"/>
      <c r="EQ35" s="86"/>
      <c r="ER35" s="86"/>
      <c r="ES35" s="86"/>
      <c r="ET35" s="86"/>
      <c r="EU35" s="86"/>
      <c r="EV35" s="86"/>
      <c r="EW35" s="86"/>
      <c r="EX35" s="86"/>
      <c r="EY35" s="86"/>
      <c r="EZ35" s="86"/>
      <c r="FA35" s="86"/>
      <c r="FB35" s="86"/>
      <c r="FC35" s="86"/>
      <c r="FD35" s="86"/>
      <c r="FE35" s="86"/>
      <c r="FF35" s="86"/>
      <c r="FG35" s="86"/>
      <c r="FH35" s="86"/>
      <c r="FI35" s="86"/>
      <c r="FJ35" s="86"/>
      <c r="FK35" s="86"/>
      <c r="FL35" s="86"/>
      <c r="FM35" s="86"/>
      <c r="FN35" s="86"/>
      <c r="FO35" s="86"/>
      <c r="FP35" s="86"/>
      <c r="FQ35" s="86"/>
      <c r="FR35" s="86"/>
      <c r="FS35" s="86"/>
      <c r="FT35" s="86"/>
      <c r="FU35" s="86"/>
      <c r="FV35" s="86"/>
      <c r="FW35" s="86"/>
      <c r="FX35" s="86"/>
      <c r="FY35" s="86"/>
      <c r="FZ35" s="86"/>
      <c r="GA35" s="86"/>
      <c r="GB35" s="86"/>
      <c r="GC35" s="86"/>
      <c r="GD35" s="86"/>
      <c r="GE35" s="86"/>
      <c r="GF35" s="86"/>
      <c r="GG35" s="86"/>
      <c r="GH35" s="86"/>
      <c r="GI35" s="86"/>
      <c r="GJ35" s="86"/>
      <c r="GK35" s="86"/>
      <c r="GL35" s="86"/>
      <c r="GM35" s="86"/>
      <c r="GN35" s="86"/>
      <c r="GO35" s="86"/>
      <c r="GP35" s="86"/>
      <c r="GQ35" s="86"/>
      <c r="GR35" s="86"/>
      <c r="GS35" s="86"/>
      <c r="GT35" s="86"/>
      <c r="GU35" s="86"/>
      <c r="GV35" s="86"/>
      <c r="GW35" s="86"/>
      <c r="GX35" s="86"/>
      <c r="GY35" s="86"/>
      <c r="GZ35" s="86"/>
      <c r="HA35" s="86"/>
      <c r="HB35" s="86"/>
      <c r="HC35" s="86"/>
      <c r="HD35" s="86"/>
      <c r="HE35" s="86"/>
      <c r="HF35" s="86"/>
      <c r="HG35" s="86"/>
      <c r="HH35" s="86"/>
      <c r="HI35" s="86"/>
      <c r="HJ35" s="86"/>
      <c r="HK35" s="86"/>
      <c r="HL35" s="86"/>
      <c r="HM35" s="86"/>
      <c r="HN35" s="86"/>
      <c r="HO35" s="86"/>
      <c r="HP35" s="86"/>
      <c r="HQ35" s="86"/>
      <c r="HR35" s="86"/>
      <c r="HS35" s="86"/>
      <c r="HT35" s="86"/>
      <c r="HU35" s="86"/>
      <c r="HV35" s="86"/>
      <c r="HW35" s="86"/>
      <c r="HX35" s="86"/>
      <c r="HY35" s="86"/>
      <c r="HZ35" s="86"/>
      <c r="IA35" s="86"/>
      <c r="IB35" s="86"/>
      <c r="IC35" s="86"/>
      <c r="ID35" s="86"/>
      <c r="IE35" s="86"/>
      <c r="IF35" s="86"/>
      <c r="IG35" s="86"/>
      <c r="IH35" s="86"/>
      <c r="II35" s="86"/>
      <c r="IJ35" s="86"/>
      <c r="IK35" s="86"/>
      <c r="IL35" s="86"/>
      <c r="IM35" s="86"/>
      <c r="IN35" s="86"/>
      <c r="IO35" s="86"/>
      <c r="IP35" s="86"/>
      <c r="IQ35" s="86"/>
      <c r="IR35" s="86"/>
      <c r="IS35" s="86"/>
      <c r="IT35" s="86"/>
      <c r="IU35" s="86"/>
      <c r="IV35" s="86"/>
      <c r="IW35" s="86"/>
    </row>
    <row r="36" spans="1:257" s="91" customFormat="1" ht="16.2" customHeight="1">
      <c r="A36" s="86"/>
      <c r="B36" s="113">
        <f>$B$1*$B$2+$B$3*961</f>
        <v>43699</v>
      </c>
      <c r="C36" s="109">
        <f>$B$1*$B$2+$B$3*960</f>
        <v>43698</v>
      </c>
      <c r="D36" s="114">
        <f>$B$1*$B$2+$B$3*959</f>
        <v>43697</v>
      </c>
      <c r="E36" s="114">
        <f>$B$1*$B$2+$B$3*958</f>
        <v>43696</v>
      </c>
      <c r="F36" s="114">
        <f>$B$1*$B$2+$B$3*957</f>
        <v>43695</v>
      </c>
      <c r="G36" s="114">
        <f>$B$1*$B$2+$B$3*956</f>
        <v>43694</v>
      </c>
      <c r="H36" s="114">
        <f>$B$1*$B$2+$B$3*955</f>
        <v>43693</v>
      </c>
      <c r="I36" s="114">
        <f>$B$1*$B$2+$B$3*954</f>
        <v>43692</v>
      </c>
      <c r="J36" s="114">
        <f>$B$1*$B$2+$B$3*953</f>
        <v>43691</v>
      </c>
      <c r="K36" s="114">
        <f>$B$1*$B$2+$B$3*952</f>
        <v>43690</v>
      </c>
      <c r="L36" s="114">
        <f>$B$1*$B$2+$B$3*951</f>
        <v>43689</v>
      </c>
      <c r="M36" s="114">
        <f>$B$1*$B$2+$B$3*950</f>
        <v>43688</v>
      </c>
      <c r="N36" s="114">
        <f>$B$1*$B$2+$B$3*949</f>
        <v>43687</v>
      </c>
      <c r="O36" s="114">
        <f>$B$1*$B$2+$B$3*948</f>
        <v>43686</v>
      </c>
      <c r="P36" s="114">
        <f>$B$1*$B$2+$B$3*947</f>
        <v>43685</v>
      </c>
      <c r="Q36" s="114">
        <f>$B$1*$B$2+$B$3*946</f>
        <v>43684</v>
      </c>
      <c r="R36" s="110">
        <f>$B$1*$B$2+$B$3*945</f>
        <v>43683</v>
      </c>
      <c r="S36" s="114">
        <f>$B$1*$B$2+$B$3*944</f>
        <v>43682</v>
      </c>
      <c r="T36" s="114">
        <f>$B$1*$B$2+$B$3*943</f>
        <v>43681</v>
      </c>
      <c r="U36" s="114">
        <f>$B$1*$B$2+$B$3*942</f>
        <v>43680</v>
      </c>
      <c r="V36" s="114">
        <f>$B$1*$B$2+$B$3*941</f>
        <v>43679</v>
      </c>
      <c r="W36" s="114">
        <f>$B$1*$B$2+$B$3*940</f>
        <v>43678</v>
      </c>
      <c r="X36" s="114">
        <f>$B$1*$B$2+$B$3*939</f>
        <v>43677</v>
      </c>
      <c r="Y36" s="114">
        <f>$B$1*$B$2+$B$3*938</f>
        <v>43676</v>
      </c>
      <c r="Z36" s="114">
        <f>$B$1*$B$2+$B$3*937</f>
        <v>43675</v>
      </c>
      <c r="AA36" s="114">
        <f>$B$1*$B$2+$B$3*936</f>
        <v>43674</v>
      </c>
      <c r="AB36" s="114">
        <f>$B$1*$B$2+$B$3*935</f>
        <v>43673</v>
      </c>
      <c r="AC36" s="114">
        <f>$B$1*$B$2+$B$3*934</f>
        <v>43672</v>
      </c>
      <c r="AD36" s="114">
        <f>$B$1*$B$2+$B$3*933</f>
        <v>43671</v>
      </c>
      <c r="AE36" s="114">
        <f>$B$1*$B$2+$B$3*932</f>
        <v>43670</v>
      </c>
      <c r="AF36" s="114">
        <f>$B$1*$B$2+$B$3*931</f>
        <v>43669</v>
      </c>
      <c r="AG36" s="111">
        <f>$B$1*$B$2+$B$3*930</f>
        <v>43668</v>
      </c>
      <c r="AH36" s="92">
        <f>$B$1*$B$2+$B$3*1055</f>
        <v>43793</v>
      </c>
      <c r="AI36" s="86"/>
      <c r="AJ36" s="86"/>
      <c r="AK36" s="86"/>
      <c r="AL36" s="86"/>
      <c r="AM36" s="86"/>
      <c r="AN36" s="86"/>
      <c r="AO36" s="86"/>
      <c r="AP36" s="86"/>
      <c r="AQ36" s="86"/>
      <c r="AR36" s="86"/>
      <c r="AS36" s="86"/>
      <c r="AT36" s="86"/>
      <c r="AU36" s="86"/>
      <c r="AV36" s="86"/>
      <c r="AW36" s="86"/>
      <c r="AX36" s="86"/>
      <c r="AY36" s="86"/>
      <c r="AZ36" s="86"/>
      <c r="BA36" s="86"/>
      <c r="BB36" s="86"/>
      <c r="BC36" s="86"/>
      <c r="BD36" s="86"/>
      <c r="BE36" s="86"/>
      <c r="BF36" s="86"/>
      <c r="BG36" s="86"/>
      <c r="BH36" s="86"/>
      <c r="BI36" s="86"/>
      <c r="BJ36" s="86"/>
      <c r="BK36" s="86"/>
      <c r="BL36" s="86"/>
      <c r="BM36" s="86"/>
      <c r="BN36" s="86"/>
      <c r="BO36" s="86"/>
      <c r="BP36" s="86"/>
      <c r="BQ36" s="86"/>
      <c r="BR36" s="86"/>
      <c r="BS36" s="86"/>
      <c r="BT36" s="86"/>
      <c r="BU36" s="86"/>
      <c r="BV36" s="86"/>
      <c r="BW36" s="86"/>
      <c r="BX36" s="86"/>
      <c r="BY36" s="86"/>
      <c r="BZ36" s="86"/>
      <c r="CA36" s="86"/>
      <c r="CB36" s="86"/>
      <c r="CC36" s="86"/>
      <c r="CD36" s="86"/>
      <c r="CE36" s="86"/>
      <c r="CF36" s="86"/>
      <c r="CG36" s="86"/>
      <c r="CH36" s="86"/>
      <c r="CI36" s="86"/>
      <c r="CJ36" s="86"/>
      <c r="CK36" s="86"/>
      <c r="CL36" s="86"/>
      <c r="CM36" s="86"/>
      <c r="CN36" s="86"/>
      <c r="CO36" s="86"/>
      <c r="CP36" s="86"/>
      <c r="CQ36" s="86"/>
      <c r="CR36" s="86"/>
      <c r="CS36" s="86"/>
      <c r="CT36" s="86"/>
      <c r="CU36" s="86"/>
      <c r="CV36" s="86"/>
      <c r="CW36" s="86"/>
      <c r="CX36" s="86"/>
      <c r="CY36" s="86"/>
      <c r="CZ36" s="86"/>
      <c r="DA36" s="86"/>
      <c r="DB36" s="86"/>
      <c r="DC36" s="86"/>
      <c r="DD36" s="86"/>
      <c r="DE36" s="86"/>
      <c r="DF36" s="86"/>
      <c r="DG36" s="86"/>
      <c r="DH36" s="86"/>
      <c r="DI36" s="86"/>
      <c r="DJ36" s="86"/>
      <c r="DK36" s="86"/>
      <c r="DL36" s="86"/>
      <c r="DM36" s="86"/>
      <c r="DN36" s="86"/>
      <c r="DO36" s="86"/>
      <c r="DP36" s="86"/>
      <c r="DQ36" s="86"/>
      <c r="DR36" s="86"/>
      <c r="DS36" s="86"/>
      <c r="DT36" s="86"/>
      <c r="DU36" s="86"/>
      <c r="DV36" s="86"/>
      <c r="DW36" s="86"/>
      <c r="DX36" s="86"/>
      <c r="DY36" s="86"/>
      <c r="DZ36" s="86"/>
      <c r="EA36" s="86"/>
      <c r="EB36" s="86"/>
      <c r="EC36" s="86"/>
      <c r="ED36" s="86"/>
      <c r="EE36" s="86"/>
      <c r="EF36" s="86"/>
      <c r="EG36" s="86"/>
      <c r="EH36" s="86"/>
      <c r="EI36" s="86"/>
      <c r="EJ36" s="86"/>
      <c r="EK36" s="86"/>
      <c r="EL36" s="86"/>
      <c r="EM36" s="86"/>
      <c r="EN36" s="86"/>
      <c r="EO36" s="86"/>
      <c r="EP36" s="86"/>
      <c r="EQ36" s="86"/>
      <c r="ER36" s="86"/>
      <c r="ES36" s="86"/>
      <c r="ET36" s="86"/>
      <c r="EU36" s="86"/>
      <c r="EV36" s="86"/>
      <c r="EW36" s="86"/>
      <c r="EX36" s="86"/>
      <c r="EY36" s="86"/>
      <c r="EZ36" s="86"/>
      <c r="FA36" s="86"/>
      <c r="FB36" s="86"/>
      <c r="FC36" s="86"/>
      <c r="FD36" s="86"/>
      <c r="FE36" s="86"/>
      <c r="FF36" s="86"/>
      <c r="FG36" s="86"/>
      <c r="FH36" s="86"/>
      <c r="FI36" s="86"/>
      <c r="FJ36" s="86"/>
      <c r="FK36" s="86"/>
      <c r="FL36" s="86"/>
      <c r="FM36" s="86"/>
      <c r="FN36" s="86"/>
      <c r="FO36" s="86"/>
      <c r="FP36" s="86"/>
      <c r="FQ36" s="86"/>
      <c r="FR36" s="86"/>
      <c r="FS36" s="86"/>
      <c r="FT36" s="86"/>
      <c r="FU36" s="86"/>
      <c r="FV36" s="86"/>
      <c r="FW36" s="86"/>
      <c r="FX36" s="86"/>
      <c r="FY36" s="86"/>
      <c r="FZ36" s="86"/>
      <c r="GA36" s="86"/>
      <c r="GB36" s="86"/>
      <c r="GC36" s="86"/>
      <c r="GD36" s="86"/>
      <c r="GE36" s="86"/>
      <c r="GF36" s="86"/>
      <c r="GG36" s="86"/>
      <c r="GH36" s="86"/>
      <c r="GI36" s="86"/>
      <c r="GJ36" s="86"/>
      <c r="GK36" s="86"/>
      <c r="GL36" s="86"/>
      <c r="GM36" s="86"/>
      <c r="GN36" s="86"/>
      <c r="GO36" s="86"/>
      <c r="GP36" s="86"/>
      <c r="GQ36" s="86"/>
      <c r="GR36" s="86"/>
      <c r="GS36" s="86"/>
      <c r="GT36" s="86"/>
      <c r="GU36" s="86"/>
      <c r="GV36" s="86"/>
      <c r="GW36" s="86"/>
      <c r="GX36" s="86"/>
      <c r="GY36" s="86"/>
      <c r="GZ36" s="86"/>
      <c r="HA36" s="86"/>
      <c r="HB36" s="86"/>
      <c r="HC36" s="86"/>
      <c r="HD36" s="86"/>
      <c r="HE36" s="86"/>
      <c r="HF36" s="86"/>
      <c r="HG36" s="86"/>
      <c r="HH36" s="86"/>
      <c r="HI36" s="86"/>
      <c r="HJ36" s="86"/>
      <c r="HK36" s="86"/>
      <c r="HL36" s="86"/>
      <c r="HM36" s="86"/>
      <c r="HN36" s="86"/>
      <c r="HO36" s="86"/>
      <c r="HP36" s="86"/>
      <c r="HQ36" s="86"/>
      <c r="HR36" s="86"/>
      <c r="HS36" s="86"/>
      <c r="HT36" s="86"/>
      <c r="HU36" s="86"/>
      <c r="HV36" s="86"/>
      <c r="HW36" s="86"/>
      <c r="HX36" s="86"/>
      <c r="HY36" s="86"/>
      <c r="HZ36" s="86"/>
      <c r="IA36" s="86"/>
      <c r="IB36" s="86"/>
      <c r="IC36" s="86"/>
      <c r="ID36" s="86"/>
      <c r="IE36" s="86"/>
      <c r="IF36" s="86"/>
      <c r="IG36" s="86"/>
      <c r="IH36" s="86"/>
      <c r="II36" s="86"/>
      <c r="IJ36" s="86"/>
      <c r="IK36" s="86"/>
      <c r="IL36" s="86"/>
      <c r="IM36" s="86"/>
      <c r="IN36" s="86"/>
      <c r="IO36" s="86"/>
      <c r="IP36" s="86"/>
      <c r="IQ36" s="86"/>
      <c r="IR36" s="86"/>
      <c r="IS36" s="86"/>
      <c r="IT36" s="86"/>
      <c r="IU36" s="86"/>
      <c r="IV36" s="86"/>
      <c r="IW36" s="86"/>
    </row>
    <row r="37" spans="1:257" s="91" customFormat="1" ht="16.2" customHeight="1">
      <c r="A37" s="86"/>
      <c r="B37" s="117">
        <f>$B$1*$B$2+$B$3*1088</f>
        <v>43826</v>
      </c>
      <c r="C37" s="88">
        <f>$B$1*$B$2+$B$3*1087</f>
        <v>43825</v>
      </c>
      <c r="D37" s="88">
        <f>$B$1*$B$2+$B$3*1086</f>
        <v>43824</v>
      </c>
      <c r="E37" s="88">
        <f>$B$1*$B$2+$B$3*1085</f>
        <v>43823</v>
      </c>
      <c r="F37" s="88">
        <f>$B$1*$B$2+$B$3*1084</f>
        <v>43822</v>
      </c>
      <c r="G37" s="88">
        <f>$B$1*$B$2+$B$3*1083</f>
        <v>43821</v>
      </c>
      <c r="H37" s="88">
        <f>$B$1*$B$2+$B$3*1082</f>
        <v>43820</v>
      </c>
      <c r="I37" s="88">
        <f>$B$1*$B$2+$B$3*1081</f>
        <v>43819</v>
      </c>
      <c r="J37" s="89">
        <f>$B$1*$B$2+$B$3*1080</f>
        <v>43818</v>
      </c>
      <c r="K37" s="88">
        <f>$B$1*$B$2+$B$3*1079</f>
        <v>43817</v>
      </c>
      <c r="L37" s="88">
        <f>$B$1*$B$2+$B$3*1078</f>
        <v>43816</v>
      </c>
      <c r="M37" s="88">
        <f>$B$1*$B$2+$B$3*1077</f>
        <v>43815</v>
      </c>
      <c r="N37" s="88">
        <f>$B$1*$B$2+$B$3*1076</f>
        <v>43814</v>
      </c>
      <c r="O37" s="88">
        <f>$B$1*$B$2+$B$3*1075</f>
        <v>43813</v>
      </c>
      <c r="P37" s="88">
        <f>$B$1*$B$2+$B$3*1074</f>
        <v>43812</v>
      </c>
      <c r="Q37" s="88">
        <f>$B$1*$B$2+$B$3*1073</f>
        <v>43811</v>
      </c>
      <c r="R37" s="89">
        <f>$B$1*$B$2+$B$3*1072</f>
        <v>43810</v>
      </c>
      <c r="S37" s="88">
        <f>$B$1*$B$2+$B$3*1071</f>
        <v>43809</v>
      </c>
      <c r="T37" s="88">
        <f>$B$1*$B$2+$B$3*1070</f>
        <v>43808</v>
      </c>
      <c r="U37" s="88">
        <f>$B$1*$B$2+$B$3*1069</f>
        <v>43807</v>
      </c>
      <c r="V37" s="88">
        <f>$B$1*$B$2+$B$3*1068</f>
        <v>43806</v>
      </c>
      <c r="W37" s="88">
        <f>$B$1*$B$2+$B$3*1067</f>
        <v>43805</v>
      </c>
      <c r="X37" s="88">
        <f>$B$1*$B$2+$B$3*1066</f>
        <v>43804</v>
      </c>
      <c r="Y37" s="88">
        <f>$B$1*$B$2+$B$3*1065</f>
        <v>43803</v>
      </c>
      <c r="Z37" s="89">
        <f>$B$1*$B$2+$B$3*1064</f>
        <v>43802</v>
      </c>
      <c r="AA37" s="88">
        <f>$B$1*$B$2+$B$3*1063</f>
        <v>43801</v>
      </c>
      <c r="AB37" s="88">
        <f>$B$1*$B$2+$B$3*1062</f>
        <v>43800</v>
      </c>
      <c r="AC37" s="88">
        <f>$B$1*$B$2+$B$3*1061</f>
        <v>43799</v>
      </c>
      <c r="AD37" s="88">
        <f>$B$1*$B$2+$B$3*1060</f>
        <v>43798</v>
      </c>
      <c r="AE37" s="88">
        <f>$B$1*$B$2+$B$3*1059</f>
        <v>43797</v>
      </c>
      <c r="AF37" s="88">
        <f>$B$1*$B$2+$B$3*1058</f>
        <v>43796</v>
      </c>
      <c r="AG37" s="88">
        <f>$B$1*$B$2+$B$3*1057</f>
        <v>43795</v>
      </c>
      <c r="AH37" s="111">
        <f>$B$1*$B$2+$B$3*1056</f>
        <v>43794</v>
      </c>
      <c r="AI37" s="86"/>
      <c r="AJ37" s="86"/>
      <c r="AK37" s="86"/>
      <c r="AL37" s="86"/>
      <c r="AM37" s="86"/>
      <c r="AN37" s="86"/>
      <c r="AO37" s="86"/>
      <c r="AP37" s="86"/>
      <c r="AQ37" s="86"/>
      <c r="AR37" s="86"/>
      <c r="AS37" s="86"/>
      <c r="AT37" s="86"/>
      <c r="AU37" s="86"/>
      <c r="AV37" s="86"/>
      <c r="AW37" s="86"/>
      <c r="AX37" s="86"/>
      <c r="AY37" s="86"/>
      <c r="AZ37" s="86"/>
      <c r="BA37" s="86"/>
      <c r="BB37" s="86"/>
      <c r="BC37" s="86"/>
      <c r="BD37" s="86"/>
      <c r="BE37" s="86"/>
      <c r="BF37" s="86"/>
      <c r="BG37" s="86"/>
      <c r="BH37" s="86"/>
      <c r="BI37" s="86"/>
      <c r="BJ37" s="86"/>
      <c r="BK37" s="86"/>
      <c r="BL37" s="86"/>
      <c r="BM37" s="86"/>
      <c r="BN37" s="86"/>
      <c r="BO37" s="86"/>
      <c r="BP37" s="86"/>
      <c r="BQ37" s="86"/>
      <c r="BR37" s="86"/>
      <c r="BS37" s="86"/>
      <c r="BT37" s="86"/>
      <c r="BU37" s="86"/>
      <c r="BV37" s="86"/>
      <c r="BW37" s="86"/>
      <c r="BX37" s="86"/>
      <c r="BY37" s="86"/>
      <c r="BZ37" s="86"/>
      <c r="CA37" s="86"/>
      <c r="CB37" s="86"/>
      <c r="CC37" s="86"/>
      <c r="CD37" s="86"/>
      <c r="CE37" s="86"/>
      <c r="CF37" s="86"/>
      <c r="CG37" s="86"/>
      <c r="CH37" s="86"/>
      <c r="CI37" s="86"/>
      <c r="CJ37" s="86"/>
      <c r="CK37" s="86"/>
      <c r="CL37" s="86"/>
      <c r="CM37" s="86"/>
      <c r="CN37" s="86"/>
      <c r="CO37" s="86"/>
      <c r="CP37" s="86"/>
      <c r="CQ37" s="86"/>
      <c r="CR37" s="86"/>
      <c r="CS37" s="86"/>
      <c r="CT37" s="86"/>
      <c r="CU37" s="86"/>
      <c r="CV37" s="86"/>
      <c r="CW37" s="86"/>
      <c r="CX37" s="86"/>
      <c r="CY37" s="86"/>
      <c r="CZ37" s="86"/>
      <c r="DA37" s="86"/>
      <c r="DB37" s="86"/>
      <c r="DC37" s="86"/>
      <c r="DD37" s="86"/>
      <c r="DE37" s="86"/>
      <c r="DF37" s="86"/>
      <c r="DG37" s="86"/>
      <c r="DH37" s="86"/>
      <c r="DI37" s="86"/>
      <c r="DJ37" s="86"/>
      <c r="DK37" s="86"/>
      <c r="DL37" s="86"/>
      <c r="DM37" s="86"/>
      <c r="DN37" s="86"/>
      <c r="DO37" s="86"/>
      <c r="DP37" s="86"/>
      <c r="DQ37" s="86"/>
      <c r="DR37" s="86"/>
      <c r="DS37" s="86"/>
      <c r="DT37" s="86"/>
      <c r="DU37" s="86"/>
      <c r="DV37" s="86"/>
      <c r="DW37" s="86"/>
      <c r="DX37" s="86"/>
      <c r="DY37" s="86"/>
      <c r="DZ37" s="86"/>
      <c r="EA37" s="86"/>
      <c r="EB37" s="86"/>
      <c r="EC37" s="86"/>
      <c r="ED37" s="86"/>
      <c r="EE37" s="86"/>
      <c r="EF37" s="86"/>
      <c r="EG37" s="86"/>
      <c r="EH37" s="86"/>
      <c r="EI37" s="86"/>
      <c r="EJ37" s="86"/>
      <c r="EK37" s="86"/>
      <c r="EL37" s="86"/>
      <c r="EM37" s="86"/>
      <c r="EN37" s="86"/>
      <c r="EO37" s="86"/>
      <c r="EP37" s="86"/>
      <c r="EQ37" s="86"/>
      <c r="ER37" s="86"/>
      <c r="ES37" s="86"/>
      <c r="ET37" s="86"/>
      <c r="EU37" s="86"/>
      <c r="EV37" s="86"/>
      <c r="EW37" s="86"/>
      <c r="EX37" s="86"/>
      <c r="EY37" s="86"/>
      <c r="EZ37" s="86"/>
      <c r="FA37" s="86"/>
      <c r="FB37" s="86"/>
      <c r="FC37" s="86"/>
      <c r="FD37" s="86"/>
      <c r="FE37" s="86"/>
      <c r="FF37" s="86"/>
      <c r="FG37" s="86"/>
      <c r="FH37" s="86"/>
      <c r="FI37" s="86"/>
      <c r="FJ37" s="86"/>
      <c r="FK37" s="86"/>
      <c r="FL37" s="86"/>
      <c r="FM37" s="86"/>
      <c r="FN37" s="86"/>
      <c r="FO37" s="86"/>
      <c r="FP37" s="86"/>
      <c r="FQ37" s="86"/>
      <c r="FR37" s="86"/>
      <c r="FS37" s="86"/>
      <c r="FT37" s="86"/>
      <c r="FU37" s="86"/>
      <c r="FV37" s="86"/>
      <c r="FW37" s="86"/>
      <c r="FX37" s="86"/>
      <c r="FY37" s="86"/>
      <c r="FZ37" s="86"/>
      <c r="GA37" s="86"/>
      <c r="GB37" s="86"/>
      <c r="GC37" s="86"/>
      <c r="GD37" s="86"/>
      <c r="GE37" s="86"/>
      <c r="GF37" s="86"/>
      <c r="GG37" s="86"/>
      <c r="GH37" s="86"/>
      <c r="GI37" s="86"/>
      <c r="GJ37" s="86"/>
      <c r="GK37" s="86"/>
      <c r="GL37" s="86"/>
      <c r="GM37" s="86"/>
      <c r="GN37" s="86"/>
      <c r="GO37" s="86"/>
      <c r="GP37" s="86"/>
      <c r="GQ37" s="86"/>
      <c r="GR37" s="86"/>
      <c r="GS37" s="86"/>
      <c r="GT37" s="86"/>
      <c r="GU37" s="86"/>
      <c r="GV37" s="86"/>
      <c r="GW37" s="86"/>
      <c r="GX37" s="86"/>
      <c r="GY37" s="86"/>
      <c r="GZ37" s="86"/>
      <c r="HA37" s="86"/>
      <c r="HB37" s="86"/>
      <c r="HC37" s="86"/>
      <c r="HD37" s="86"/>
      <c r="HE37" s="86"/>
      <c r="HF37" s="86"/>
      <c r="HG37" s="86"/>
      <c r="HH37" s="86"/>
      <c r="HI37" s="86"/>
      <c r="HJ37" s="86"/>
      <c r="HK37" s="86"/>
      <c r="HL37" s="86"/>
      <c r="HM37" s="86"/>
      <c r="HN37" s="86"/>
      <c r="HO37" s="86"/>
      <c r="HP37" s="86"/>
      <c r="HQ37" s="86"/>
      <c r="HR37" s="86"/>
      <c r="HS37" s="86"/>
      <c r="HT37" s="86"/>
      <c r="HU37" s="86"/>
      <c r="HV37" s="86"/>
      <c r="HW37" s="86"/>
      <c r="HX37" s="86"/>
      <c r="HY37" s="86"/>
      <c r="HZ37" s="86"/>
      <c r="IA37" s="86"/>
      <c r="IB37" s="86"/>
      <c r="IC37" s="86"/>
      <c r="ID37" s="86"/>
      <c r="IE37" s="86"/>
      <c r="IF37" s="86"/>
      <c r="IG37" s="86"/>
      <c r="IH37" s="86"/>
      <c r="II37" s="86"/>
      <c r="IJ37" s="86"/>
      <c r="IK37" s="86"/>
      <c r="IL37" s="86"/>
      <c r="IM37" s="86"/>
      <c r="IN37" s="86"/>
      <c r="IO37" s="86"/>
      <c r="IP37" s="86"/>
      <c r="IQ37" s="86"/>
      <c r="IR37" s="86"/>
      <c r="IS37" s="86"/>
      <c r="IT37" s="86"/>
      <c r="IU37" s="86"/>
      <c r="IV37" s="86"/>
      <c r="IW37" s="86"/>
    </row>
    <row r="38" spans="1:257" ht="26.55" customHeight="1">
      <c r="A38" s="118" t="s">
        <v>53</v>
      </c>
      <c r="B38" s="118"/>
      <c r="J38" s="118" t="s">
        <v>54</v>
      </c>
      <c r="R38" s="119" t="s">
        <v>55</v>
      </c>
      <c r="Z38" s="118" t="s">
        <v>56</v>
      </c>
      <c r="AI38" s="118" t="s">
        <v>57</v>
      </c>
    </row>
    <row r="39" spans="1:257" ht="13.8">
      <c r="A39" s="120"/>
      <c r="B39" s="120"/>
      <c r="C39" s="120"/>
      <c r="D39" s="121"/>
      <c r="I39" s="122"/>
      <c r="J39" s="122"/>
      <c r="K39" s="122"/>
      <c r="Q39" s="122"/>
      <c r="R39" s="123"/>
      <c r="S39" s="122"/>
    </row>
    <row r="40" spans="1:257" ht="13.8">
      <c r="A40" s="78"/>
      <c r="B40" s="79"/>
      <c r="C40" s="79"/>
      <c r="D40" s="121"/>
      <c r="I40" s="78"/>
      <c r="J40" s="79"/>
      <c r="K40" s="79"/>
      <c r="Q40" s="78"/>
      <c r="R40" s="83"/>
      <c r="S40" s="79"/>
    </row>
    <row r="41" spans="1:257" ht="13.8">
      <c r="A41" s="80"/>
      <c r="B41" s="81"/>
      <c r="C41" s="81"/>
      <c r="D41" s="121"/>
      <c r="I41" s="124"/>
      <c r="J41" s="124"/>
      <c r="K41" s="124"/>
      <c r="Q41" s="123"/>
      <c r="R41" s="83"/>
      <c r="S41" s="67"/>
      <c r="Y41" s="122"/>
      <c r="Z41" s="122"/>
      <c r="AA41" s="122"/>
      <c r="AH41" s="66"/>
      <c r="AI41" s="32"/>
      <c r="AJ41" s="32"/>
    </row>
    <row r="42" spans="1:257" ht="15" customHeight="1">
      <c r="A42" s="82"/>
      <c r="B42" s="79"/>
      <c r="C42" s="79"/>
      <c r="D42" s="121"/>
      <c r="I42" s="124"/>
      <c r="J42" s="124"/>
      <c r="K42" s="124"/>
      <c r="Q42" s="83"/>
      <c r="R42" s="32"/>
      <c r="S42" s="32"/>
      <c r="Y42" s="126"/>
      <c r="Z42" s="126"/>
      <c r="AA42" s="126"/>
      <c r="AH42" s="125"/>
      <c r="AI42" s="32"/>
      <c r="AJ42" s="32"/>
    </row>
    <row r="43" spans="1:257" ht="15.75" customHeight="1">
      <c r="A43" s="121"/>
      <c r="B43" s="121"/>
      <c r="C43" s="121"/>
      <c r="D43" s="121"/>
      <c r="Q43" s="83"/>
      <c r="R43" s="83"/>
      <c r="S43" s="83"/>
      <c r="Y43" s="126"/>
      <c r="Z43" s="126"/>
      <c r="AA43" s="126"/>
      <c r="AH43" s="83"/>
      <c r="AI43" s="32"/>
      <c r="AJ43" s="32"/>
    </row>
    <row r="44" spans="1:257">
      <c r="A44" s="121"/>
      <c r="B44" s="121"/>
      <c r="C44" s="121"/>
      <c r="D44" s="121"/>
      <c r="Y44" s="126"/>
      <c r="Z44" s="126"/>
      <c r="AA44" s="126"/>
    </row>
    <row r="45" spans="1:257">
      <c r="Y45" s="122"/>
      <c r="Z45" s="122"/>
      <c r="AA45" s="122"/>
    </row>
  </sheetData>
  <mergeCells count="4">
    <mergeCell ref="P2:T2"/>
    <mergeCell ref="Y42:AA42"/>
    <mergeCell ref="Y43:AA43"/>
    <mergeCell ref="Y44:AA44"/>
  </mergeCells>
  <pageMargins left="0" right="0" top="0.39409448818897641" bottom="0.39409448818897641" header="0" footer="0"/>
  <headerFooter>
    <oddHeader>&amp;C&amp;A</oddHeader>
    <oddFooter>&amp;CPage 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SQ9_C</vt:lpstr>
      <vt:lpstr>SQ9</vt:lpstr>
      <vt:lpstr>SQ9_Dates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Jacqueline Gan</dc:creator>
  <cp:lastModifiedBy>Jacqueline Gan</cp:lastModifiedBy>
  <cp:revision>2</cp:revision>
  <dcterms:created xsi:type="dcterms:W3CDTF">2018-07-29T22:36:46Z</dcterms:created>
  <dcterms:modified xsi:type="dcterms:W3CDTF">2018-07-29T21:53:51Z</dcterms:modified>
</cp:coreProperties>
</file>