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0" yWindow="-240" windowWidth="15480" windowHeight="9600" activeTab="2"/>
  </bookViews>
  <sheets>
    <sheet name="Chart1" sheetId="4" r:id="rId1"/>
    <sheet name="Chart2" sheetId="5" r:id="rId2"/>
    <sheet name="Sheet1" sheetId="1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AC44" i="1" l="1"/>
  <c r="AB40" i="1"/>
  <c r="AA48" i="1" s="1"/>
  <c r="AA40" i="1"/>
  <c r="AA47" i="1" s="1"/>
  <c r="AB47" i="1" s="1"/>
  <c r="W40" i="1"/>
  <c r="AB39" i="1"/>
  <c r="AA46" i="1" s="1"/>
  <c r="AB46" i="1" s="1"/>
  <c r="AA39" i="1"/>
  <c r="AA45" i="1" s="1"/>
  <c r="AB45" i="1" s="1"/>
  <c r="Z39" i="1"/>
  <c r="W39" i="1"/>
  <c r="AC38" i="1"/>
  <c r="AB38" i="1"/>
  <c r="AD38" i="1" s="1"/>
  <c r="X38" i="1"/>
  <c r="W38" i="1"/>
  <c r="AD37" i="1"/>
  <c r="AD36" i="1" s="1"/>
  <c r="W37" i="1"/>
  <c r="W36" i="1"/>
  <c r="W35" i="1"/>
  <c r="W34" i="1"/>
  <c r="AC33" i="1"/>
  <c r="W33" i="1"/>
  <c r="U33" i="1"/>
  <c r="V29" i="1"/>
  <c r="V30" i="1" s="1"/>
  <c r="V27" i="1"/>
  <c r="U27" i="1"/>
  <c r="X45" i="1" s="1"/>
  <c r="X46" i="1" s="1"/>
  <c r="X25" i="1"/>
  <c r="W25" i="1"/>
  <c r="T24" i="1"/>
  <c r="Y24" i="1" s="1"/>
  <c r="S24" i="1"/>
  <c r="X24" i="1" s="1"/>
  <c r="S23" i="1"/>
  <c r="AB22" i="1"/>
  <c r="AC22" i="1" s="1"/>
  <c r="AF22" i="1" s="1"/>
  <c r="AG22" i="1" s="1"/>
  <c r="AH22" i="1" s="1"/>
  <c r="AI22" i="1" s="1"/>
  <c r="AA22" i="1"/>
  <c r="AD22" i="1" s="1"/>
  <c r="AE22" i="1" s="1"/>
  <c r="AC21" i="1"/>
  <c r="AB21" i="1"/>
  <c r="AD21" i="1" s="1"/>
  <c r="AE21" i="1" s="1"/>
  <c r="AA21" i="1"/>
  <c r="S21" i="1"/>
  <c r="S22" i="1" s="1"/>
  <c r="AA20" i="1"/>
  <c r="AB20" i="1" s="1"/>
  <c r="X20" i="1"/>
  <c r="W20" i="1"/>
  <c r="AD19" i="1"/>
  <c r="AE19" i="1" s="1"/>
  <c r="AC19" i="1"/>
  <c r="AF19" i="1" s="1"/>
  <c r="AB19" i="1"/>
  <c r="AA19" i="1"/>
  <c r="Y19" i="1"/>
  <c r="X19" i="1"/>
  <c r="W19" i="1"/>
  <c r="AD18" i="1"/>
  <c r="AF13" i="1"/>
  <c r="AE13" i="1"/>
  <c r="AD12" i="1"/>
  <c r="AD11" i="1"/>
  <c r="AD10" i="1"/>
  <c r="AC10" i="1"/>
  <c r="AB10" i="1"/>
  <c r="AA11" i="1" s="1"/>
  <c r="AB11" i="1" s="1"/>
  <c r="AA10" i="1"/>
  <c r="AA9" i="1"/>
  <c r="AB9" i="1" s="1"/>
  <c r="AC8" i="1"/>
  <c r="AC9" i="1" s="1"/>
  <c r="AB8" i="1"/>
  <c r="AA8" i="1"/>
  <c r="AC7" i="1"/>
  <c r="U7" i="1"/>
  <c r="V4" i="1"/>
  <c r="V7" i="1" s="1"/>
  <c r="V11" i="1" s="1"/>
  <c r="V3" i="1"/>
  <c r="V2" i="1"/>
  <c r="X16" i="1" s="1"/>
  <c r="AA16" i="1" l="1"/>
  <c r="Y1" i="1" s="1"/>
  <c r="AC11" i="1"/>
  <c r="AA12" i="1" s="1"/>
  <c r="AA15" i="1" s="1"/>
  <c r="Z1" i="1" s="1"/>
  <c r="AF20" i="1"/>
  <c r="AG20" i="1" s="1"/>
  <c r="AG19" i="1" s="1"/>
  <c r="AH19" i="1" s="1"/>
  <c r="AI19" i="1" s="1"/>
  <c r="W1" i="1" s="1"/>
  <c r="AC20" i="1"/>
  <c r="AD20" i="1"/>
  <c r="AE20" i="1" s="1"/>
  <c r="V33" i="1"/>
  <c r="AD47" i="1"/>
  <c r="AE47" i="1" s="1"/>
  <c r="AC47" i="1"/>
  <c r="AF21" i="1"/>
  <c r="AG21" i="1" s="1"/>
  <c r="AH21" i="1" s="1"/>
  <c r="AI21" i="1" s="1"/>
  <c r="AD45" i="1"/>
  <c r="AE45" i="1" s="1"/>
  <c r="AC45" i="1"/>
  <c r="AD48" i="1"/>
  <c r="AE48" i="1" s="1"/>
  <c r="AB48" i="1"/>
  <c r="AC48" i="1" s="1"/>
  <c r="AF48" i="1" s="1"/>
  <c r="AD46" i="1"/>
  <c r="AE46" i="1" s="1"/>
  <c r="AC46" i="1"/>
  <c r="AH46" i="1" s="1"/>
  <c r="AI46" i="1" s="1"/>
  <c r="AJ45" i="1" s="1"/>
  <c r="AJ46" i="1" s="1"/>
  <c r="AA36" i="1"/>
  <c r="AB36" i="1" s="1"/>
  <c r="V37" i="1"/>
  <c r="AF39" i="1"/>
  <c r="S50" i="1"/>
  <c r="X50" i="1" s="1"/>
  <c r="W51" i="1"/>
  <c r="V28" i="1"/>
  <c r="AD44" i="1"/>
  <c r="T50" i="1"/>
  <c r="Y50" i="1" s="1"/>
  <c r="X51" i="1"/>
  <c r="AA34" i="1"/>
  <c r="W45" i="1"/>
  <c r="W46" i="1" s="1"/>
  <c r="S47" i="1"/>
  <c r="S48" i="1" s="1"/>
  <c r="AE39" i="1"/>
  <c r="K44" i="1"/>
  <c r="H39" i="1"/>
  <c r="K33" i="1" s="1"/>
  <c r="F38" i="1"/>
  <c r="E40" i="1"/>
  <c r="E39" i="1"/>
  <c r="E38" i="1"/>
  <c r="E37" i="1"/>
  <c r="E36" i="1"/>
  <c r="E35" i="1"/>
  <c r="E34" i="1"/>
  <c r="E33" i="1"/>
  <c r="K38" i="1"/>
  <c r="J38" i="1"/>
  <c r="J40" i="1"/>
  <c r="I48" i="1" s="1"/>
  <c r="L48" i="1" s="1"/>
  <c r="I40" i="1"/>
  <c r="I47" i="1" s="1"/>
  <c r="J47" i="1" s="1"/>
  <c r="L47" i="1" s="1"/>
  <c r="J39" i="1"/>
  <c r="I46" i="1" s="1"/>
  <c r="J46" i="1" s="1"/>
  <c r="I39" i="1"/>
  <c r="I45" i="1" s="1"/>
  <c r="J45" i="1" s="1"/>
  <c r="L45" i="1" s="1"/>
  <c r="D27" i="1"/>
  <c r="A50" i="1" s="1"/>
  <c r="F50" i="1" s="1"/>
  <c r="C27" i="1"/>
  <c r="F51" i="1" s="1"/>
  <c r="C33" i="1"/>
  <c r="V25" i="1" l="1"/>
  <c r="V19" i="1"/>
  <c r="V20" i="1" s="1"/>
  <c r="Z27" i="1"/>
  <c r="S19" i="1"/>
  <c r="S20" i="1" s="1"/>
  <c r="S25" i="1"/>
  <c r="X42" i="1"/>
  <c r="AF45" i="1"/>
  <c r="S49" i="1"/>
  <c r="AB34" i="1"/>
  <c r="AA35" i="1" s="1"/>
  <c r="AB35" i="1" s="1"/>
  <c r="AC34" i="1"/>
  <c r="AC35" i="1" s="1"/>
  <c r="AC36" i="1"/>
  <c r="AA37" i="1"/>
  <c r="AB37" i="1" s="1"/>
  <c r="AF47" i="1"/>
  <c r="AG47" i="1" s="1"/>
  <c r="AH47" i="1" s="1"/>
  <c r="AI47" i="1" s="1"/>
  <c r="Y27" i="1"/>
  <c r="T25" i="1"/>
  <c r="Z2" i="1"/>
  <c r="Z3" i="1"/>
  <c r="Z4" i="1" s="1"/>
  <c r="T19" i="1"/>
  <c r="T20" i="1" s="1"/>
  <c r="AG48" i="1"/>
  <c r="AH48" i="1" s="1"/>
  <c r="AI48" i="1" s="1"/>
  <c r="AH20" i="1"/>
  <c r="AI20" i="1" s="1"/>
  <c r="AJ19" i="1" s="1"/>
  <c r="AJ20" i="1" s="1"/>
  <c r="X1" i="1" s="1"/>
  <c r="M45" i="1"/>
  <c r="M48" i="1"/>
  <c r="I36" i="1"/>
  <c r="J36" i="1" s="1"/>
  <c r="K36" i="1" s="1"/>
  <c r="M47" i="1"/>
  <c r="F45" i="1"/>
  <c r="F46" i="1" s="1"/>
  <c r="B50" i="1"/>
  <c r="G50" i="1" s="1"/>
  <c r="L37" i="1"/>
  <c r="L36" i="1" s="1"/>
  <c r="L38" i="1"/>
  <c r="K46" i="1"/>
  <c r="L46" i="1"/>
  <c r="M46" i="1" s="1"/>
  <c r="E45" i="1"/>
  <c r="E46" i="1" s="1"/>
  <c r="M39" i="1"/>
  <c r="E51" i="1"/>
  <c r="N39" i="1"/>
  <c r="D28" i="1"/>
  <c r="F42" i="1" s="1"/>
  <c r="L44" i="1"/>
  <c r="A47" i="1"/>
  <c r="A48" i="1" s="1"/>
  <c r="D29" i="1"/>
  <c r="D30" i="1" s="1"/>
  <c r="D33" i="1" s="1"/>
  <c r="D37" i="1" s="1"/>
  <c r="I34" i="1"/>
  <c r="K34" i="1" s="1"/>
  <c r="K35" i="1" s="1"/>
  <c r="K45" i="1"/>
  <c r="K47" i="1"/>
  <c r="J48" i="1"/>
  <c r="K48" i="1" s="1"/>
  <c r="A49" i="1"/>
  <c r="U25" i="1" l="1"/>
  <c r="U19" i="1"/>
  <c r="U20" i="1" s="1"/>
  <c r="T23" i="1" s="1"/>
  <c r="Y12" i="1"/>
  <c r="X2" i="1"/>
  <c r="X3" i="1"/>
  <c r="X4" i="1" s="1"/>
  <c r="S45" i="1"/>
  <c r="S46" i="1" s="1"/>
  <c r="S51" i="1"/>
  <c r="AA42" i="1"/>
  <c r="Y45" i="1"/>
  <c r="AF46" i="1"/>
  <c r="AG46" i="1" s="1"/>
  <c r="AG45" i="1" s="1"/>
  <c r="AH45" i="1" s="1"/>
  <c r="AI45" i="1" s="1"/>
  <c r="W27" i="1" s="1"/>
  <c r="Z7" i="1"/>
  <c r="Z11" i="1" s="1"/>
  <c r="T45" i="1"/>
  <c r="T46" i="1" s="1"/>
  <c r="T51" i="1"/>
  <c r="Z28" i="1"/>
  <c r="Z29" i="1"/>
  <c r="Z30" i="1" s="1"/>
  <c r="AC37" i="1"/>
  <c r="X27" i="1" s="1"/>
  <c r="N48" i="1"/>
  <c r="O48" i="1" s="1"/>
  <c r="P48" i="1" s="1"/>
  <c r="Q48" i="1" s="1"/>
  <c r="N45" i="1"/>
  <c r="N46" i="1" s="1"/>
  <c r="O46" i="1" s="1"/>
  <c r="O45" i="1" s="1"/>
  <c r="P45" i="1" s="1"/>
  <c r="Q45" i="1" s="1"/>
  <c r="E27" i="1" s="1"/>
  <c r="K37" i="1"/>
  <c r="I37" i="1"/>
  <c r="J37" i="1" s="1"/>
  <c r="N47" i="1"/>
  <c r="O47" i="1" s="1"/>
  <c r="P47" i="1" s="1"/>
  <c r="Q47" i="1" s="1"/>
  <c r="P46" i="1"/>
  <c r="Q46" i="1" s="1"/>
  <c r="R45" i="1" s="1"/>
  <c r="R46" i="1" s="1"/>
  <c r="J34" i="1"/>
  <c r="I35" i="1" s="1"/>
  <c r="J35" i="1" s="1"/>
  <c r="G45" i="1"/>
  <c r="L18" i="1"/>
  <c r="L11" i="1"/>
  <c r="L10" i="1" s="1"/>
  <c r="L12" i="1"/>
  <c r="V51" i="1" l="1"/>
  <c r="X28" i="1"/>
  <c r="V45" i="1"/>
  <c r="V46" i="1" s="1"/>
  <c r="X29" i="1"/>
  <c r="X30" i="1" s="1"/>
  <c r="Y38" i="1"/>
  <c r="Z33" i="1"/>
  <c r="Z37" i="1" s="1"/>
  <c r="AA38" i="1"/>
  <c r="AA41" i="1" s="1"/>
  <c r="X7" i="1"/>
  <c r="X11" i="1" s="1"/>
  <c r="AA2" i="1"/>
  <c r="AB2" i="1" s="1"/>
  <c r="AC2" i="1" s="1"/>
  <c r="X15" i="1"/>
  <c r="Y15" i="1" s="1"/>
  <c r="Z19" i="1"/>
  <c r="U2" i="1"/>
  <c r="AA1" i="1"/>
  <c r="AB1" i="1" s="1"/>
  <c r="AC1" i="1" s="1"/>
  <c r="U51" i="1"/>
  <c r="U45" i="1"/>
  <c r="U46" i="1" s="1"/>
  <c r="T49" i="1" s="1"/>
  <c r="I42" i="1"/>
  <c r="F27" i="1"/>
  <c r="C51" i="1" s="1"/>
  <c r="I38" i="1"/>
  <c r="I41" i="1" s="1"/>
  <c r="D51" i="1"/>
  <c r="D45" i="1"/>
  <c r="D46" i="1" s="1"/>
  <c r="I19" i="1"/>
  <c r="Z45" i="1" l="1"/>
  <c r="AA27" i="1"/>
  <c r="AB27" i="1" s="1"/>
  <c r="AC27" i="1" s="1"/>
  <c r="AA3" i="1"/>
  <c r="X33" i="1"/>
  <c r="X37" i="1" s="1"/>
  <c r="X41" i="1"/>
  <c r="Y41" i="1" s="1"/>
  <c r="AA28" i="1"/>
  <c r="AB28" i="1" s="1"/>
  <c r="AC28" i="1" s="1"/>
  <c r="AA29" i="1" s="1"/>
  <c r="X31" i="1" s="1"/>
  <c r="F28" i="1"/>
  <c r="C45" i="1"/>
  <c r="C46" i="1" s="1"/>
  <c r="B49" i="1" s="1"/>
  <c r="H45" i="1" s="1"/>
  <c r="F29" i="1"/>
  <c r="F30" i="1" s="1"/>
  <c r="F33" i="1" s="1"/>
  <c r="F37" i="1" s="1"/>
  <c r="N13" i="1"/>
  <c r="M13" i="1"/>
  <c r="I22" i="1"/>
  <c r="L22" i="1" s="1"/>
  <c r="M22" i="1" s="1"/>
  <c r="I21" i="1"/>
  <c r="I20" i="1"/>
  <c r="J20" i="1" s="1"/>
  <c r="L20" i="1" s="1"/>
  <c r="X32" i="1" l="1"/>
  <c r="T42" i="1" s="1"/>
  <c r="T43" i="1" s="1"/>
  <c r="X34" i="1"/>
  <c r="U28" i="1"/>
  <c r="X36" i="1"/>
  <c r="W30" i="1" s="1"/>
  <c r="AE36" i="1"/>
  <c r="AE37" i="1" s="1"/>
  <c r="V31" i="1"/>
  <c r="Z31" i="1"/>
  <c r="AE10" i="1"/>
  <c r="AE11" i="1" s="1"/>
  <c r="V5" i="1"/>
  <c r="Z5" i="1"/>
  <c r="X5" i="1"/>
  <c r="J22" i="1"/>
  <c r="K22" i="1" s="1"/>
  <c r="J21" i="1"/>
  <c r="K20" i="1"/>
  <c r="J19" i="1"/>
  <c r="X6" i="1" l="1"/>
  <c r="X8" i="1"/>
  <c r="X9" i="1" s="1"/>
  <c r="W5" i="1" s="1"/>
  <c r="Z32" i="1"/>
  <c r="Z34" i="1"/>
  <c r="Z6" i="1"/>
  <c r="Z8" i="1"/>
  <c r="V32" i="1"/>
  <c r="V34" i="1"/>
  <c r="V6" i="1"/>
  <c r="V8" i="1"/>
  <c r="X35" i="1"/>
  <c r="W31" i="1" s="1"/>
  <c r="K21" i="1"/>
  <c r="L21" i="1"/>
  <c r="M21" i="1" s="1"/>
  <c r="K19" i="1"/>
  <c r="L19" i="1"/>
  <c r="M19" i="1" s="1"/>
  <c r="M20" i="1"/>
  <c r="I10" i="1"/>
  <c r="I8" i="1"/>
  <c r="V35" i="1" l="1"/>
  <c r="W29" i="1" s="1"/>
  <c r="Z35" i="1"/>
  <c r="Y29" i="1" s="1"/>
  <c r="S42" i="1"/>
  <c r="V36" i="1"/>
  <c r="U29" i="1" s="1"/>
  <c r="U42" i="1"/>
  <c r="U43" i="1" s="1"/>
  <c r="Z36" i="1"/>
  <c r="Y28" i="1" s="1"/>
  <c r="Z9" i="1"/>
  <c r="Y3" i="1" s="1"/>
  <c r="V9" i="1"/>
  <c r="W3" i="1" s="1"/>
  <c r="S16" i="1"/>
  <c r="V10" i="1"/>
  <c r="U3" i="1" s="1"/>
  <c r="U16" i="1"/>
  <c r="U17" i="1" s="1"/>
  <c r="Z10" i="1"/>
  <c r="Y2" i="1" s="1"/>
  <c r="T16" i="1"/>
  <c r="T17" i="1" s="1"/>
  <c r="X10" i="1"/>
  <c r="W4" i="1" s="1"/>
  <c r="P20" i="1"/>
  <c r="Q20" i="1" s="1"/>
  <c r="R19" i="1" s="1"/>
  <c r="N22" i="1"/>
  <c r="O22" i="1" s="1"/>
  <c r="N21" i="1"/>
  <c r="O21" i="1" s="1"/>
  <c r="N19" i="1"/>
  <c r="N20" i="1" s="1"/>
  <c r="O20" i="1" s="1"/>
  <c r="O19" i="1" s="1"/>
  <c r="J8" i="1"/>
  <c r="J10" i="1"/>
  <c r="S43" i="1" l="1"/>
  <c r="S44" i="1" s="1"/>
  <c r="T44" i="1"/>
  <c r="S17" i="1"/>
  <c r="S18" i="1" s="1"/>
  <c r="T18" i="1"/>
  <c r="X18" i="1" s="1"/>
  <c r="P22" i="1"/>
  <c r="Q22" i="1" s="1"/>
  <c r="P21" i="1"/>
  <c r="Q21" i="1" s="1"/>
  <c r="R20" i="1"/>
  <c r="P19" i="1"/>
  <c r="Q19" i="1" s="1"/>
  <c r="K7" i="1"/>
  <c r="V42" i="1" l="1"/>
  <c r="X43" i="1"/>
  <c r="U31" i="1" s="1"/>
  <c r="X17" i="1"/>
  <c r="U5" i="1" s="1"/>
  <c r="V16" i="1"/>
  <c r="U4" i="1"/>
  <c r="X44" i="1"/>
  <c r="I11" i="1"/>
  <c r="J11" i="1" s="1"/>
  <c r="K8" i="1"/>
  <c r="K9" i="1" s="1"/>
  <c r="K10" i="1"/>
  <c r="F25" i="1"/>
  <c r="E25" i="1"/>
  <c r="V44" i="1" l="1"/>
  <c r="U30" i="1"/>
  <c r="U37" i="1" s="1"/>
  <c r="U11" i="1"/>
  <c r="T11" i="1"/>
  <c r="U10" i="1"/>
  <c r="T8" i="1"/>
  <c r="U6" i="1"/>
  <c r="U8" i="1" s="1"/>
  <c r="V18" i="1"/>
  <c r="E1" i="1"/>
  <c r="D25" i="1" s="1"/>
  <c r="K11" i="1"/>
  <c r="F1" i="1" s="1"/>
  <c r="I9" i="1"/>
  <c r="J9" i="1" s="1"/>
  <c r="C7" i="1"/>
  <c r="T5" i="1" l="1"/>
  <c r="V15" i="1"/>
  <c r="U9" i="1"/>
  <c r="U15" i="1" s="1"/>
  <c r="T9" i="1" s="1"/>
  <c r="S15" i="1"/>
  <c r="U32" i="1"/>
  <c r="U34" i="1" s="1"/>
  <c r="T37" i="1"/>
  <c r="U36" i="1"/>
  <c r="T10" i="1"/>
  <c r="F3" i="1"/>
  <c r="C25" i="1"/>
  <c r="A24" i="1"/>
  <c r="F24" i="1" s="1"/>
  <c r="B24" i="1"/>
  <c r="T12" i="1" l="1"/>
  <c r="T13" i="1"/>
  <c r="S6" i="1"/>
  <c r="S5" i="1" s="1"/>
  <c r="W18" i="1" s="1"/>
  <c r="S11" i="1"/>
  <c r="S8" i="1" s="1"/>
  <c r="S41" i="1"/>
  <c r="U35" i="1"/>
  <c r="U41" i="1" s="1"/>
  <c r="V41" i="1"/>
  <c r="T35" i="1"/>
  <c r="T34" i="1"/>
  <c r="T36" i="1"/>
  <c r="T31" i="1"/>
  <c r="D2" i="1"/>
  <c r="F2" i="1"/>
  <c r="Z18" i="1" l="1"/>
  <c r="Z17" i="1"/>
  <c r="Y18" i="1"/>
  <c r="T38" i="1"/>
  <c r="T39" i="1"/>
  <c r="U40" i="1" s="1"/>
  <c r="T40" i="1" s="1"/>
  <c r="S40" i="1"/>
  <c r="U14" i="1"/>
  <c r="T14" i="1" s="1"/>
  <c r="I16" i="1"/>
  <c r="G1" i="1" s="1"/>
  <c r="I12" i="1"/>
  <c r="I15" i="1" s="1"/>
  <c r="H1" i="1" s="1"/>
  <c r="F4" i="1"/>
  <c r="E19" i="1"/>
  <c r="T6" i="1" l="1"/>
  <c r="T7" i="1"/>
  <c r="S10" i="1" s="1"/>
  <c r="S37" i="1"/>
  <c r="S34" i="1" s="1"/>
  <c r="S32" i="1"/>
  <c r="S31" i="1" s="1"/>
  <c r="W44" i="1" s="1"/>
  <c r="Y20" i="1"/>
  <c r="Y13" i="1"/>
  <c r="Z20" i="1" s="1"/>
  <c r="Z16" i="1"/>
  <c r="Y16" i="1"/>
  <c r="T33" i="1"/>
  <c r="T32" i="1"/>
  <c r="Z15" i="1"/>
  <c r="G27" i="1"/>
  <c r="B45" i="1" s="1"/>
  <c r="B46" i="1" s="1"/>
  <c r="H27" i="1"/>
  <c r="F7" i="1"/>
  <c r="A21" i="1"/>
  <c r="A22" i="1" s="1"/>
  <c r="A23" i="1" s="1"/>
  <c r="F19" i="1"/>
  <c r="F20" i="1" s="1"/>
  <c r="E20" i="1"/>
  <c r="D19" i="1"/>
  <c r="D20" i="1" s="1"/>
  <c r="C19" i="1"/>
  <c r="C20" i="1" s="1"/>
  <c r="B23" i="1" s="1"/>
  <c r="B19" i="1"/>
  <c r="B20" i="1" s="1"/>
  <c r="A19" i="1"/>
  <c r="A20" i="1" s="1"/>
  <c r="G12" i="1"/>
  <c r="Z43" i="1" l="1"/>
  <c r="Z44" i="1"/>
  <c r="Y44" i="1"/>
  <c r="Y11" i="1"/>
  <c r="Y25" i="1"/>
  <c r="U24" i="1"/>
  <c r="Z24" i="1" s="1"/>
  <c r="S9" i="1"/>
  <c r="AA7" i="1"/>
  <c r="W23" i="1"/>
  <c r="AA5" i="1"/>
  <c r="AB5" i="1" s="1"/>
  <c r="AC5" i="1" s="1"/>
  <c r="S3" i="1" s="1"/>
  <c r="S36" i="1"/>
  <c r="A25" i="1"/>
  <c r="H2" i="1"/>
  <c r="I1" i="1" s="1"/>
  <c r="J1" i="1" s="1"/>
  <c r="K1" i="1" s="1"/>
  <c r="A51" i="1"/>
  <c r="A45" i="1"/>
  <c r="A46" i="1" s="1"/>
  <c r="G38" i="1"/>
  <c r="H29" i="1"/>
  <c r="H30" i="1" s="1"/>
  <c r="F41" i="1" s="1"/>
  <c r="H28" i="1"/>
  <c r="I27" i="1" s="1"/>
  <c r="J27" i="1" s="1"/>
  <c r="K27" i="1" s="1"/>
  <c r="B51" i="1"/>
  <c r="B25" i="1"/>
  <c r="H3" i="1"/>
  <c r="H4" i="1" s="1"/>
  <c r="D3" i="1"/>
  <c r="D4" i="1" s="1"/>
  <c r="V24" i="1" l="1"/>
  <c r="T1" i="1"/>
  <c r="Y51" i="1"/>
  <c r="U50" i="1"/>
  <c r="Z50" i="1" s="1"/>
  <c r="AA31" i="1"/>
  <c r="AB31" i="1" s="1"/>
  <c r="AC31" i="1" s="1"/>
  <c r="S29" i="1" s="1"/>
  <c r="W49" i="1"/>
  <c r="AA33" i="1"/>
  <c r="S35" i="1"/>
  <c r="Z25" i="1"/>
  <c r="V23" i="1"/>
  <c r="AA6" i="1"/>
  <c r="AA4" i="1"/>
  <c r="AB4" i="1" s="1"/>
  <c r="S7" i="1"/>
  <c r="Y9" i="1"/>
  <c r="Y10" i="1"/>
  <c r="Y39" i="1"/>
  <c r="Z46" i="1" s="1"/>
  <c r="Y46" i="1"/>
  <c r="Z42" i="1"/>
  <c r="G41" i="1"/>
  <c r="H33" i="1"/>
  <c r="H37" i="1" s="1"/>
  <c r="I28" i="1"/>
  <c r="J28" i="1" s="1"/>
  <c r="K28" i="1" s="1"/>
  <c r="I29" i="1" s="1"/>
  <c r="H31" i="1" s="1"/>
  <c r="H34" i="1" s="1"/>
  <c r="I2" i="1"/>
  <c r="J2" i="1" s="1"/>
  <c r="K2" i="1" s="1"/>
  <c r="I3" i="1" s="1"/>
  <c r="M10" i="1" s="1"/>
  <c r="M11" i="1" s="1"/>
  <c r="D7" i="1"/>
  <c r="D11" i="1" s="1"/>
  <c r="F15" i="1"/>
  <c r="G15" i="1" s="1"/>
  <c r="F11" i="1"/>
  <c r="V50" i="1" l="1"/>
  <c r="T27" i="1"/>
  <c r="AC4" i="1"/>
  <c r="S13" i="1" s="1"/>
  <c r="S1" i="1" s="1"/>
  <c r="S2" i="1"/>
  <c r="Z41" i="1"/>
  <c r="Z51" i="1"/>
  <c r="V49" i="1"/>
  <c r="AA32" i="1"/>
  <c r="S33" i="1"/>
  <c r="AA30" i="1"/>
  <c r="AB30" i="1" s="1"/>
  <c r="AG13" i="1"/>
  <c r="Y8" i="1"/>
  <c r="Y7" i="1" s="1"/>
  <c r="Y42" i="1"/>
  <c r="Y37" i="1"/>
  <c r="W17" i="1"/>
  <c r="T21" i="1"/>
  <c r="C28" i="1"/>
  <c r="M36" i="1"/>
  <c r="M37" i="1" s="1"/>
  <c r="F31" i="1"/>
  <c r="F34" i="1" s="1"/>
  <c r="H32" i="1"/>
  <c r="H35" i="1" s="1"/>
  <c r="G29" i="1" s="1"/>
  <c r="D31" i="1"/>
  <c r="D34" i="1" s="1"/>
  <c r="D5" i="1"/>
  <c r="D8" i="1" s="1"/>
  <c r="F5" i="1"/>
  <c r="H5" i="1"/>
  <c r="H6" i="1" s="1"/>
  <c r="C16" i="1" s="1"/>
  <c r="C17" i="1" s="1"/>
  <c r="H7" i="1"/>
  <c r="C2" i="1" s="1"/>
  <c r="AC30" i="1" l="1"/>
  <c r="S39" i="1" s="1"/>
  <c r="S27" i="1" s="1"/>
  <c r="S28" i="1"/>
  <c r="AH13" i="1"/>
  <c r="T2" i="1"/>
  <c r="S12" i="1" s="1"/>
  <c r="W43" i="1"/>
  <c r="T47" i="1"/>
  <c r="Y17" i="1"/>
  <c r="Y14" i="1" s="1"/>
  <c r="T22" i="1"/>
  <c r="AG39" i="1"/>
  <c r="Y35" i="1"/>
  <c r="Y34" i="1" s="1"/>
  <c r="Y33" i="1" s="1"/>
  <c r="Y36" i="1"/>
  <c r="F6" i="1"/>
  <c r="F8" i="1"/>
  <c r="D32" i="1"/>
  <c r="D36" i="1" s="1"/>
  <c r="C29" i="1" s="1"/>
  <c r="H36" i="1"/>
  <c r="G28" i="1" s="1"/>
  <c r="C42" i="1"/>
  <c r="C43" i="1" s="1"/>
  <c r="F32" i="1"/>
  <c r="B42" i="1" s="1"/>
  <c r="B43" i="1" s="1"/>
  <c r="H11" i="1"/>
  <c r="H10" i="1" s="1"/>
  <c r="H8" i="1"/>
  <c r="H9" i="1" s="1"/>
  <c r="D6" i="1"/>
  <c r="F9" i="1"/>
  <c r="E5" i="1" s="1"/>
  <c r="U21" i="1" l="1"/>
  <c r="U22" i="1"/>
  <c r="T3" i="1"/>
  <c r="S4" i="1" s="1"/>
  <c r="T4" i="1"/>
  <c r="Y43" i="1"/>
  <c r="Y40" i="1" s="1"/>
  <c r="T48" i="1"/>
  <c r="AH39" i="1"/>
  <c r="T28" i="1"/>
  <c r="S38" i="1" s="1"/>
  <c r="A42" i="1"/>
  <c r="B44" i="1" s="1"/>
  <c r="D35" i="1"/>
  <c r="E29" i="1" s="1"/>
  <c r="F36" i="1"/>
  <c r="E30" i="1" s="1"/>
  <c r="F35" i="1"/>
  <c r="E31" i="1" s="1"/>
  <c r="D10" i="1"/>
  <c r="C3" i="1" s="1"/>
  <c r="G3" i="1"/>
  <c r="G2" i="1"/>
  <c r="A16" i="1"/>
  <c r="A17" i="1" s="1"/>
  <c r="D9" i="1"/>
  <c r="E3" i="1" s="1"/>
  <c r="B16" i="1"/>
  <c r="F10" i="1"/>
  <c r="E4" i="1" s="1"/>
  <c r="T30" i="1" l="1"/>
  <c r="T29" i="1"/>
  <c r="S30" i="1" s="1"/>
  <c r="U48" i="1"/>
  <c r="U47" i="1"/>
  <c r="U23" i="1"/>
  <c r="X23" i="1" s="1"/>
  <c r="Y23" i="1" s="1"/>
  <c r="Z23" i="1" s="1"/>
  <c r="AB16" i="1"/>
  <c r="AB17" i="1" s="1"/>
  <c r="AB18" i="1"/>
  <c r="AA17" i="1"/>
  <c r="AA18" i="1" s="1"/>
  <c r="AC15" i="1"/>
  <c r="W24" i="1"/>
  <c r="AF10" i="1"/>
  <c r="Y6" i="1" s="1"/>
  <c r="X14" i="1"/>
  <c r="AC16" i="1"/>
  <c r="AC17" i="1" s="1"/>
  <c r="X13" i="1"/>
  <c r="V21" i="1"/>
  <c r="V22" i="1"/>
  <c r="W22" i="1" s="1"/>
  <c r="A43" i="1"/>
  <c r="A44" i="1" s="1"/>
  <c r="F44" i="1" s="1"/>
  <c r="C30" i="1" s="1"/>
  <c r="B17" i="1"/>
  <c r="A18" i="1" s="1"/>
  <c r="B18" i="1"/>
  <c r="V48" i="1" l="1"/>
  <c r="X22" i="1"/>
  <c r="Y22" i="1" s="1"/>
  <c r="Z22" i="1" s="1"/>
  <c r="W21" i="1"/>
  <c r="X21" i="1" s="1"/>
  <c r="W47" i="1"/>
  <c r="V47" i="1"/>
  <c r="AB44" i="1"/>
  <c r="AB42" i="1"/>
  <c r="AB43" i="1" s="1"/>
  <c r="U49" i="1"/>
  <c r="X49" i="1" s="1"/>
  <c r="Y49" i="1" s="1"/>
  <c r="Z49" i="1" s="1"/>
  <c r="AC41" i="1"/>
  <c r="W50" i="1"/>
  <c r="AA43" i="1"/>
  <c r="AA44" i="1" s="1"/>
  <c r="X40" i="1"/>
  <c r="X39" i="1"/>
  <c r="Y5" i="1" s="1"/>
  <c r="AC42" i="1"/>
  <c r="D42" i="1"/>
  <c r="F43" i="1"/>
  <c r="C31" i="1" s="1"/>
  <c r="C37" i="1" s="1"/>
  <c r="F18" i="1"/>
  <c r="F17" i="1"/>
  <c r="C5" i="1" s="1"/>
  <c r="D16" i="1"/>
  <c r="X47" i="1" l="1"/>
  <c r="Y47" i="1" s="1"/>
  <c r="Z47" i="1" s="1"/>
  <c r="Y21" i="1"/>
  <c r="Z21" i="1" s="1"/>
  <c r="W48" i="1"/>
  <c r="X48" i="1" s="1"/>
  <c r="AC43" i="1"/>
  <c r="C32" i="1"/>
  <c r="C34" i="1" s="1"/>
  <c r="C35" i="1" s="1"/>
  <c r="C41" i="1" s="1"/>
  <c r="B35" i="1" s="1"/>
  <c r="B37" i="1"/>
  <c r="B34" i="1" s="1"/>
  <c r="D44" i="1"/>
  <c r="C36" i="1"/>
  <c r="B31" i="1" s="1"/>
  <c r="F16" i="1"/>
  <c r="D18" i="1"/>
  <c r="C4" i="1"/>
  <c r="B11" i="1" s="1"/>
  <c r="Y48" i="1" l="1"/>
  <c r="Z48" i="1" s="1"/>
  <c r="A41" i="1"/>
  <c r="D41" i="1"/>
  <c r="B36" i="1"/>
  <c r="A40" i="1"/>
  <c r="B39" i="1"/>
  <c r="B38" i="1"/>
  <c r="C11" i="1"/>
  <c r="C10" i="1"/>
  <c r="C40" i="1" l="1"/>
  <c r="B40" i="1" s="1"/>
  <c r="B33" i="1" s="1"/>
  <c r="A32" i="1"/>
  <c r="A31" i="1" s="1"/>
  <c r="E44" i="1" s="1"/>
  <c r="A37" i="1"/>
  <c r="A34" i="1" s="1"/>
  <c r="B5" i="1"/>
  <c r="A15" i="1"/>
  <c r="B8" i="1"/>
  <c r="B32" i="1" l="1"/>
  <c r="G44" i="1"/>
  <c r="H43" i="1"/>
  <c r="H44" i="1"/>
  <c r="G19" i="1"/>
  <c r="A36" i="1" l="1"/>
  <c r="A35" i="1" s="1"/>
  <c r="G46" i="1"/>
  <c r="H42" i="1"/>
  <c r="G42" i="1" s="1"/>
  <c r="G39" i="1"/>
  <c r="H46" i="1" s="1"/>
  <c r="C6" i="1"/>
  <c r="D49" i="1" l="1"/>
  <c r="I30" i="1"/>
  <c r="J30" i="1" s="1"/>
  <c r="A28" i="1" s="1"/>
  <c r="I32" i="1"/>
  <c r="H51" i="1"/>
  <c r="A33" i="1"/>
  <c r="E43" i="1" s="1"/>
  <c r="G43" i="1" s="1"/>
  <c r="G40" i="1" s="1"/>
  <c r="I33" i="1"/>
  <c r="C50" i="1"/>
  <c r="H50" i="1" s="1"/>
  <c r="G51" i="1"/>
  <c r="E49" i="1"/>
  <c r="I31" i="1"/>
  <c r="J31" i="1" s="1"/>
  <c r="K31" i="1" s="1"/>
  <c r="A29" i="1" s="1"/>
  <c r="D50" i="1" s="1"/>
  <c r="G37" i="1"/>
  <c r="G35" i="1" s="1"/>
  <c r="H41" i="1"/>
  <c r="C8" i="1"/>
  <c r="D15" i="1" s="1"/>
  <c r="B48" i="1" l="1"/>
  <c r="B47" i="1"/>
  <c r="K30" i="1"/>
  <c r="A39" i="1" s="1"/>
  <c r="A27" i="1" s="1"/>
  <c r="P39" i="1" s="1"/>
  <c r="B27" i="1"/>
  <c r="O39" i="1" s="1"/>
  <c r="G36" i="1"/>
  <c r="G34" i="1" s="1"/>
  <c r="G33" i="1" s="1"/>
  <c r="C9" i="1"/>
  <c r="C15" i="1" s="1"/>
  <c r="B9" i="1" s="1"/>
  <c r="A11" i="1" s="1"/>
  <c r="C47" i="1" l="1"/>
  <c r="D47" i="1" s="1"/>
  <c r="E47" i="1" s="1"/>
  <c r="C48" i="1"/>
  <c r="D48" i="1" s="1"/>
  <c r="B28" i="1"/>
  <c r="A38" i="1" s="1"/>
  <c r="B29" i="1" s="1"/>
  <c r="A30" i="1" s="1"/>
  <c r="B10" i="1"/>
  <c r="B12" i="1"/>
  <c r="B13" i="1"/>
  <c r="A8" i="1"/>
  <c r="A6" i="1"/>
  <c r="A5" i="1" s="1"/>
  <c r="E18" i="1" s="1"/>
  <c r="E48" i="1" l="1"/>
  <c r="F48" i="1" s="1"/>
  <c r="G48" i="1" s="1"/>
  <c r="H48" i="1" s="1"/>
  <c r="B30" i="1"/>
  <c r="E50" i="1" s="1"/>
  <c r="C14" i="1"/>
  <c r="B14" i="1" s="1"/>
  <c r="B7" i="1" s="1"/>
  <c r="A10" i="1" s="1"/>
  <c r="A9" i="1" s="1"/>
  <c r="F47" i="1"/>
  <c r="G47" i="1" s="1"/>
  <c r="H47" i="1" s="1"/>
  <c r="G18" i="1"/>
  <c r="H18" i="1"/>
  <c r="H17" i="1"/>
  <c r="F39" i="1" l="1"/>
  <c r="G5" i="1" s="1"/>
  <c r="B6" i="1"/>
  <c r="F40" i="1"/>
  <c r="C49" i="1"/>
  <c r="F49" i="1" s="1"/>
  <c r="G49" i="1" s="1"/>
  <c r="H49" i="1" s="1"/>
  <c r="J42" i="1"/>
  <c r="J43" i="1" s="1"/>
  <c r="J44" i="1"/>
  <c r="K41" i="1"/>
  <c r="I43" i="1"/>
  <c r="I44" i="1" s="1"/>
  <c r="K42" i="1"/>
  <c r="G20" i="1"/>
  <c r="G13" i="1"/>
  <c r="H20" i="1" s="1"/>
  <c r="H16" i="1"/>
  <c r="H15" i="1" s="1"/>
  <c r="K43" i="1" l="1"/>
  <c r="I5" i="1"/>
  <c r="J5" i="1" s="1"/>
  <c r="K5" i="1" s="1"/>
  <c r="I7" i="1"/>
  <c r="G11" i="1"/>
  <c r="G9" i="1" s="1"/>
  <c r="G25" i="1"/>
  <c r="G24" i="1"/>
  <c r="C24" i="1"/>
  <c r="H24" i="1" s="1"/>
  <c r="G16" i="1"/>
  <c r="E23" i="1"/>
  <c r="A3" i="1" l="1"/>
  <c r="G10" i="1"/>
  <c r="G8" i="1" s="1"/>
  <c r="G7" i="1" s="1"/>
  <c r="B1" i="1" l="1"/>
  <c r="O13" i="1" s="1"/>
  <c r="D24" i="1"/>
  <c r="H19" i="1"/>
  <c r="D23" i="1" l="1"/>
  <c r="A7" i="1"/>
  <c r="I6" i="1"/>
  <c r="I4" i="1"/>
  <c r="J4" i="1" s="1"/>
  <c r="H25" i="1"/>
  <c r="B21" i="1" l="1"/>
  <c r="E17" i="1"/>
  <c r="A2" i="1"/>
  <c r="K4" i="1"/>
  <c r="A13" i="1" s="1"/>
  <c r="A1" i="1" s="1"/>
  <c r="G17" i="1" l="1"/>
  <c r="G14" i="1" s="1"/>
  <c r="B22" i="1"/>
  <c r="B2" i="1"/>
  <c r="A12" i="1" s="1"/>
  <c r="B4" i="1" s="1"/>
  <c r="F13" i="1" s="1"/>
  <c r="P13" i="1"/>
  <c r="B3" i="1" l="1"/>
  <c r="A4" i="1" s="1"/>
  <c r="C21" i="1"/>
  <c r="C22" i="1"/>
  <c r="D21" i="1" l="1"/>
  <c r="N10" i="1"/>
  <c r="G6" i="1" s="1"/>
  <c r="C23" i="1"/>
  <c r="F23" i="1" s="1"/>
  <c r="G23" i="1" s="1"/>
  <c r="H23" i="1" s="1"/>
  <c r="F14" i="1"/>
  <c r="K15" i="1"/>
  <c r="I17" i="1"/>
  <c r="I18" i="1" s="1"/>
  <c r="J18" i="1"/>
  <c r="E24" i="1"/>
  <c r="J16" i="1"/>
  <c r="J17" i="1" s="1"/>
  <c r="K16" i="1"/>
  <c r="D22" i="1"/>
  <c r="K17" i="1" l="1"/>
  <c r="E21" i="1"/>
  <c r="E22" i="1"/>
  <c r="F22" i="1" s="1"/>
  <c r="F21" i="1" l="1"/>
  <c r="G21" i="1" s="1"/>
  <c r="H21" i="1" s="1"/>
  <c r="G22" i="1"/>
  <c r="H22" i="1" s="1"/>
</calcChain>
</file>

<file path=xl/comments1.xml><?xml version="1.0" encoding="utf-8"?>
<comments xmlns="http://schemas.openxmlformats.org/spreadsheetml/2006/main">
  <authors>
    <author>orabi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U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W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X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U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V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W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X27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</commentList>
</comments>
</file>

<file path=xl/sharedStrings.xml><?xml version="1.0" encoding="utf-8"?>
<sst xmlns="http://schemas.openxmlformats.org/spreadsheetml/2006/main" count="8" uniqueCount="2">
  <si>
    <t>DAY 2</t>
  </si>
  <si>
    <t>DAY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</si>
</sst>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0000"/>
    <numFmt numFmtId="165" formatCode="0.000"/>
    <numFmt numFmtId="166" formatCode="0.0000"/>
    <numFmt numFmtId="167" formatCode="0.000000"/>
    <numFmt numFmtId="168" formatCode="0.0000000"/>
    <numFmt numFmtId="169" formatCode="0E+00"/>
    <numFmt numFmtId="170" formatCode="0.0"/>
  </numFmts>
  <fonts count="4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22"/>
      <color rgb="FF00B0F0"/>
      <name val="Calibri"/>
      <family val="2"/>
      <scheme val="minor"/>
    </font>
    <font>
      <sz val="28"/>
      <color rgb="FF00B0F0"/>
      <name val="Calibri"/>
      <family val="2"/>
      <scheme val="minor"/>
    </font>
    <font>
      <b/>
      <sz val="36"/>
      <color rgb="FF00B0F0"/>
      <name val="Calibri"/>
      <family val="2"/>
      <scheme val="minor"/>
    </font>
    <font>
      <sz val="36"/>
      <color rgb="FF00B0F0"/>
      <name val="Calibri"/>
      <family val="2"/>
      <scheme val="minor"/>
    </font>
    <font>
      <sz val="22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48"/>
      <color rgb="FF00B0F0"/>
      <name val="Cambria"/>
      <family val="1"/>
      <scheme val="major"/>
    </font>
    <font>
      <sz val="48"/>
      <color rgb="FF00B0F0"/>
      <name val="Calibri"/>
      <family val="2"/>
      <scheme val="minor"/>
    </font>
    <font>
      <b/>
      <i/>
      <sz val="36"/>
      <color rgb="FF00B0F0"/>
      <name val="Calibri"/>
      <family val="2"/>
      <scheme val="minor"/>
    </font>
    <font>
      <b/>
      <sz val="48"/>
      <color rgb="FF00B0F0"/>
      <name val="Calibri"/>
      <family val="2"/>
      <scheme val="minor"/>
    </font>
    <font>
      <b/>
      <sz val="36"/>
      <color rgb="FF00B0F0"/>
      <name val="Cambria"/>
      <family val="1"/>
      <scheme val="major"/>
    </font>
    <font>
      <b/>
      <i/>
      <sz val="48"/>
      <color rgb="FFFF0000"/>
      <name val="Calibri"/>
      <family val="2"/>
      <scheme val="minor"/>
    </font>
    <font>
      <sz val="48"/>
      <name val="Calibri"/>
      <family val="2"/>
      <scheme val="minor"/>
    </font>
    <font>
      <sz val="4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26"/>
      <color rgb="FF00B0F0"/>
      <name val="Calibri"/>
      <family val="2"/>
      <scheme val="minor"/>
    </font>
    <font>
      <b/>
      <sz val="36"/>
      <name val="Cambria"/>
      <family val="1"/>
      <scheme val="major"/>
    </font>
    <font>
      <b/>
      <i/>
      <sz val="36"/>
      <color rgb="FFFF0000"/>
      <name val="Calibri"/>
      <family val="2"/>
      <scheme val="minor"/>
    </font>
    <font>
      <i/>
      <sz val="28"/>
      <color rgb="FFFFFF00"/>
      <name val="Calibri"/>
      <family val="2"/>
      <scheme val="minor"/>
    </font>
    <font>
      <b/>
      <i/>
      <sz val="28"/>
      <color rgb="FFFFFF00"/>
      <name val="Calibri"/>
      <family val="2"/>
      <scheme val="minor"/>
    </font>
    <font>
      <sz val="28"/>
      <color rgb="FFFFFF00"/>
      <name val="Calibri"/>
      <family val="2"/>
      <scheme val="minor"/>
    </font>
    <font>
      <sz val="48"/>
      <color rgb="FFFFFF00"/>
      <name val="Calibri"/>
      <family val="2"/>
      <scheme val="minor"/>
    </font>
    <font>
      <b/>
      <i/>
      <sz val="36"/>
      <name val="Calibri"/>
      <family val="2"/>
      <scheme val="minor"/>
    </font>
    <font>
      <sz val="36"/>
      <name val="Calibri"/>
      <family val="2"/>
      <scheme val="minor"/>
    </font>
    <font>
      <sz val="22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36"/>
      <color theme="0"/>
      <name val="Cambria"/>
      <family val="1"/>
      <scheme val="major"/>
    </font>
    <font>
      <b/>
      <i/>
      <sz val="48"/>
      <color theme="0"/>
      <name val="Calibri"/>
      <family val="2"/>
      <scheme val="minor"/>
    </font>
    <font>
      <b/>
      <i/>
      <sz val="48"/>
      <color rgb="FF00B0F0"/>
      <name val="Calibri"/>
      <family val="2"/>
      <scheme val="minor"/>
    </font>
    <font>
      <b/>
      <sz val="28"/>
      <color rgb="FF00B0F0"/>
      <name val="Calibri"/>
      <family val="2"/>
      <scheme val="minor"/>
    </font>
    <font>
      <sz val="72"/>
      <name val="Calibri"/>
      <family val="2"/>
      <scheme val="minor"/>
    </font>
    <font>
      <b/>
      <sz val="48"/>
      <name val="Calibri"/>
      <family val="2"/>
      <scheme val="minor"/>
    </font>
    <font>
      <b/>
      <sz val="48"/>
      <color theme="0"/>
      <name val="Cambria"/>
      <family val="1"/>
      <scheme val="major"/>
    </font>
    <font>
      <b/>
      <i/>
      <sz val="48"/>
      <color rgb="FFFFFF00"/>
      <name val="Calibri"/>
      <family val="2"/>
      <scheme val="minor"/>
    </font>
    <font>
      <i/>
      <sz val="48"/>
      <color rgb="FFFFFF00"/>
      <name val="Calibri"/>
      <family val="2"/>
      <scheme val="minor"/>
    </font>
    <font>
      <b/>
      <i/>
      <sz val="48"/>
      <name val="Calibri"/>
      <family val="2"/>
      <scheme val="minor"/>
    </font>
    <font>
      <b/>
      <sz val="48"/>
      <name val="Cambria"/>
      <family val="1"/>
      <scheme val="maj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13">
    <xf numFmtId="0" fontId="0" fillId="0" borderId="0" xfId="0"/>
    <xf numFmtId="166" fontId="5" fillId="2" borderId="0" xfId="0" applyNumberFormat="1" applyFont="1" applyFill="1" applyAlignment="1" applyProtection="1">
      <protection hidden="1"/>
    </xf>
    <xf numFmtId="164" fontId="5" fillId="2" borderId="0" xfId="0" applyNumberFormat="1" applyFont="1" applyFill="1" applyAlignment="1" applyProtection="1">
      <protection hidden="1"/>
    </xf>
    <xf numFmtId="2" fontId="5" fillId="2" borderId="0" xfId="0" applyNumberFormat="1" applyFont="1" applyFill="1" applyAlignment="1" applyProtection="1">
      <protection hidden="1"/>
    </xf>
    <xf numFmtId="1" fontId="5" fillId="2" borderId="0" xfId="0" applyNumberFormat="1" applyFont="1" applyFill="1" applyAlignment="1" applyProtection="1">
      <protection hidden="1"/>
    </xf>
    <xf numFmtId="165" fontId="5" fillId="2" borderId="0" xfId="0" applyNumberFormat="1" applyFont="1" applyFill="1" applyAlignment="1" applyProtection="1">
      <protection hidden="1"/>
    </xf>
    <xf numFmtId="1" fontId="5" fillId="2" borderId="0" xfId="1" applyNumberFormat="1" applyFont="1" applyFill="1" applyAlignment="1" applyProtection="1">
      <protection hidden="1"/>
    </xf>
    <xf numFmtId="164" fontId="5" fillId="2" borderId="0" xfId="1" applyNumberFormat="1" applyFont="1" applyFill="1" applyAlignment="1" applyProtection="1">
      <protection hidden="1"/>
    </xf>
    <xf numFmtId="2" fontId="7" fillId="2" borderId="0" xfId="0" applyNumberFormat="1" applyFont="1" applyFill="1" applyAlignment="1" applyProtection="1">
      <protection hidden="1"/>
    </xf>
    <xf numFmtId="1" fontId="7" fillId="2" borderId="0" xfId="0" applyNumberFormat="1" applyFont="1" applyFill="1" applyAlignment="1" applyProtection="1">
      <protection hidden="1"/>
    </xf>
    <xf numFmtId="167" fontId="8" fillId="2" borderId="0" xfId="1" applyNumberFormat="1" applyFont="1" applyFill="1" applyBorder="1" applyAlignment="1" applyProtection="1">
      <protection hidden="1"/>
    </xf>
    <xf numFmtId="0" fontId="0" fillId="3" borderId="0" xfId="0" applyFill="1"/>
    <xf numFmtId="0" fontId="4" fillId="3" borderId="0" xfId="0" applyFont="1" applyFill="1"/>
    <xf numFmtId="166" fontId="8" fillId="2" borderId="0" xfId="0" applyNumberFormat="1" applyFont="1" applyFill="1" applyBorder="1" applyAlignment="1" applyProtection="1">
      <alignment horizontal="center"/>
      <protection hidden="1"/>
    </xf>
    <xf numFmtId="166" fontId="6" fillId="2" borderId="0" xfId="0" applyNumberFormat="1" applyFont="1" applyFill="1" applyAlignment="1" applyProtection="1">
      <protection hidden="1"/>
    </xf>
    <xf numFmtId="1" fontId="6" fillId="2" borderId="0" xfId="0" applyNumberFormat="1" applyFont="1" applyFill="1" applyBorder="1" applyAlignment="1" applyProtection="1">
      <protection hidden="1"/>
    </xf>
    <xf numFmtId="1" fontId="6" fillId="2" borderId="0" xfId="1" applyNumberFormat="1" applyFont="1" applyFill="1" applyBorder="1" applyAlignment="1" applyProtection="1">
      <protection hidden="1"/>
    </xf>
    <xf numFmtId="164" fontId="7" fillId="2" borderId="0" xfId="0" applyNumberFormat="1" applyFont="1" applyFill="1" applyAlignment="1" applyProtection="1">
      <protection hidden="1"/>
    </xf>
    <xf numFmtId="168" fontId="7" fillId="2" borderId="0" xfId="0" applyNumberFormat="1" applyFont="1" applyFill="1" applyAlignment="1" applyProtection="1">
      <protection hidden="1"/>
    </xf>
    <xf numFmtId="166" fontId="13" fillId="2" borderId="0" xfId="0" applyNumberFormat="1" applyFont="1" applyFill="1" applyAlignment="1" applyProtection="1">
      <alignment horizontal="center"/>
      <protection hidden="1"/>
    </xf>
    <xf numFmtId="166" fontId="5" fillId="2" borderId="0" xfId="0" applyNumberFormat="1" applyFont="1" applyFill="1" applyBorder="1" applyAlignment="1" applyProtection="1">
      <protection hidden="1"/>
    </xf>
    <xf numFmtId="166" fontId="8" fillId="2" borderId="0" xfId="0" applyNumberFormat="1" applyFont="1" applyFill="1" applyAlignment="1" applyProtection="1">
      <protection hidden="1"/>
    </xf>
    <xf numFmtId="167" fontId="6" fillId="2" borderId="0" xfId="1" applyNumberFormat="1" applyFont="1" applyFill="1" applyBorder="1" applyAlignment="1" applyProtection="1">
      <protection hidden="1"/>
    </xf>
    <xf numFmtId="164" fontId="6" fillId="2" borderId="0" xfId="1" applyNumberFormat="1" applyFont="1" applyFill="1" applyBorder="1" applyAlignment="1" applyProtection="1">
      <protection hidden="1"/>
    </xf>
    <xf numFmtId="1" fontId="18" fillId="2" borderId="2" xfId="0" applyNumberFormat="1" applyFont="1" applyFill="1" applyBorder="1" applyAlignment="1" applyProtection="1">
      <protection hidden="1"/>
    </xf>
    <xf numFmtId="1" fontId="6" fillId="6" borderId="3" xfId="0" applyNumberFormat="1" applyFont="1" applyFill="1" applyBorder="1" applyAlignment="1" applyProtection="1">
      <protection hidden="1"/>
    </xf>
    <xf numFmtId="166" fontId="8" fillId="2" borderId="0" xfId="1" applyNumberFormat="1" applyFont="1" applyFill="1" applyAlignment="1" applyProtection="1">
      <protection hidden="1"/>
    </xf>
    <xf numFmtId="166" fontId="8" fillId="2" borderId="0" xfId="1" applyNumberFormat="1" applyFont="1" applyFill="1" applyBorder="1" applyAlignment="1" applyProtection="1">
      <protection hidden="1"/>
    </xf>
    <xf numFmtId="166" fontId="7" fillId="2" borderId="0" xfId="1" applyNumberFormat="1" applyFont="1" applyFill="1" applyBorder="1" applyAlignment="1" applyProtection="1">
      <protection hidden="1"/>
    </xf>
    <xf numFmtId="167" fontId="8" fillId="2" borderId="0" xfId="0" applyNumberFormat="1" applyFont="1" applyFill="1" applyBorder="1" applyAlignment="1" applyProtection="1">
      <alignment horizontal="center"/>
      <protection hidden="1"/>
    </xf>
    <xf numFmtId="0" fontId="14" fillId="2" borderId="0" xfId="0" applyFont="1" applyFill="1" applyBorder="1" applyAlignment="1" applyProtection="1">
      <alignment horizontal="center"/>
      <protection hidden="1"/>
    </xf>
    <xf numFmtId="0" fontId="12" fillId="2" borderId="0" xfId="0" applyFont="1" applyFill="1" applyBorder="1" applyAlignment="1" applyProtection="1">
      <protection hidden="1"/>
    </xf>
    <xf numFmtId="2" fontId="12" fillId="2" borderId="0" xfId="0" applyNumberFormat="1" applyFont="1" applyFill="1" applyBorder="1" applyAlignment="1" applyProtection="1">
      <protection hidden="1"/>
    </xf>
    <xf numFmtId="0" fontId="15" fillId="2" borderId="0" xfId="0" applyFont="1" applyFill="1" applyBorder="1" applyAlignment="1" applyProtection="1">
      <protection hidden="1"/>
    </xf>
    <xf numFmtId="0" fontId="8" fillId="2" borderId="0" xfId="0" applyFont="1" applyFill="1" applyBorder="1" applyProtection="1">
      <protection hidden="1"/>
    </xf>
    <xf numFmtId="0" fontId="10" fillId="2" borderId="0" xfId="0" applyFont="1" applyFill="1" applyProtection="1">
      <protection hidden="1"/>
    </xf>
    <xf numFmtId="166" fontId="8" fillId="2" borderId="0" xfId="0" applyNumberFormat="1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12" fillId="2" borderId="0" xfId="0" applyFont="1" applyFill="1" applyBorder="1" applyProtection="1">
      <protection hidden="1"/>
    </xf>
    <xf numFmtId="1" fontId="8" fillId="2" borderId="0" xfId="0" applyNumberFormat="1" applyFont="1" applyFill="1" applyBorder="1" applyProtection="1">
      <protection hidden="1"/>
    </xf>
    <xf numFmtId="0" fontId="18" fillId="2" borderId="0" xfId="0" applyFont="1" applyFill="1" applyProtection="1">
      <protection hidden="1"/>
    </xf>
    <xf numFmtId="164" fontId="8" fillId="2" borderId="0" xfId="0" applyNumberFormat="1" applyFont="1" applyFill="1" applyBorder="1" applyProtection="1">
      <protection hidden="1"/>
    </xf>
    <xf numFmtId="1" fontId="12" fillId="2" borderId="0" xfId="0" applyNumberFormat="1" applyFont="1" applyFill="1" applyBorder="1" applyProtection="1">
      <protection hidden="1"/>
    </xf>
    <xf numFmtId="0" fontId="6" fillId="2" borderId="0" xfId="0" applyFont="1" applyFill="1" applyBorder="1" applyProtection="1">
      <protection hidden="1"/>
    </xf>
    <xf numFmtId="2" fontId="8" fillId="2" borderId="0" xfId="0" applyNumberFormat="1" applyFont="1" applyFill="1" applyBorder="1" applyProtection="1">
      <protection hidden="1"/>
    </xf>
    <xf numFmtId="0" fontId="20" fillId="2" borderId="0" xfId="0" applyFont="1" applyFill="1" applyBorder="1" applyProtection="1">
      <protection hidden="1"/>
    </xf>
    <xf numFmtId="0" fontId="19" fillId="5" borderId="3" xfId="0" applyFont="1" applyFill="1" applyBorder="1" applyProtection="1">
      <protection hidden="1"/>
    </xf>
    <xf numFmtId="0" fontId="17" fillId="5" borderId="3" xfId="0" applyFont="1" applyFill="1" applyBorder="1" applyProtection="1">
      <protection hidden="1"/>
    </xf>
    <xf numFmtId="166" fontId="13" fillId="2" borderId="0" xfId="0" applyNumberFormat="1" applyFont="1" applyFill="1" applyBorder="1" applyProtection="1">
      <protection hidden="1"/>
    </xf>
    <xf numFmtId="0" fontId="18" fillId="2" borderId="0" xfId="0" applyFont="1" applyFill="1" applyBorder="1" applyProtection="1">
      <protection hidden="1"/>
    </xf>
    <xf numFmtId="166" fontId="8" fillId="2" borderId="0" xfId="1" applyNumberFormat="1" applyFont="1" applyFill="1" applyAlignment="1" applyProtection="1">
      <alignment horizontal="center"/>
      <protection hidden="1"/>
    </xf>
    <xf numFmtId="1" fontId="8" fillId="2" borderId="0" xfId="0" applyNumberFormat="1" applyFont="1" applyFill="1" applyProtection="1">
      <protection hidden="1"/>
    </xf>
    <xf numFmtId="0" fontId="12" fillId="2" borderId="0" xfId="0" applyFont="1" applyFill="1" applyProtection="1">
      <protection hidden="1"/>
    </xf>
    <xf numFmtId="1" fontId="12" fillId="2" borderId="0" xfId="0" applyNumberFormat="1" applyFont="1" applyFill="1" applyProtection="1">
      <protection hidden="1"/>
    </xf>
    <xf numFmtId="169" fontId="12" fillId="2" borderId="0" xfId="0" applyNumberFormat="1" applyFont="1" applyFill="1" applyProtection="1">
      <protection hidden="1"/>
    </xf>
    <xf numFmtId="166" fontId="8" fillId="2" borderId="0" xfId="0" applyNumberFormat="1" applyFont="1" applyFill="1" applyAlignment="1" applyProtection="1">
      <alignment horizontal="center"/>
      <protection hidden="1"/>
    </xf>
    <xf numFmtId="164" fontId="4" fillId="2" borderId="0" xfId="0" applyNumberFormat="1" applyFont="1" applyFill="1" applyProtection="1">
      <protection hidden="1"/>
    </xf>
    <xf numFmtId="166" fontId="4" fillId="2" borderId="0" xfId="0" applyNumberFormat="1" applyFont="1" applyFill="1" applyProtection="1">
      <protection hidden="1"/>
    </xf>
    <xf numFmtId="0" fontId="4" fillId="2" borderId="0" xfId="0" applyFont="1" applyFill="1" applyProtection="1">
      <protection hidden="1"/>
    </xf>
    <xf numFmtId="2" fontId="22" fillId="2" borderId="1" xfId="0" applyNumberFormat="1" applyFont="1" applyFill="1" applyBorder="1" applyAlignment="1" applyProtection="1">
      <alignment horizontal="center"/>
      <protection hidden="1"/>
    </xf>
    <xf numFmtId="2" fontId="22" fillId="2" borderId="1" xfId="0" applyNumberFormat="1" applyFont="1" applyFill="1" applyBorder="1" applyAlignment="1" applyProtection="1">
      <protection hidden="1"/>
    </xf>
    <xf numFmtId="165" fontId="23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Alignment="1" applyProtection="1">
      <alignment horizontal="center"/>
      <protection hidden="1"/>
    </xf>
    <xf numFmtId="165" fontId="24" fillId="4" borderId="0" xfId="0" applyNumberFormat="1" applyFont="1" applyFill="1" applyBorder="1" applyAlignment="1" applyProtection="1">
      <alignment horizontal="center"/>
      <protection hidden="1"/>
    </xf>
    <xf numFmtId="165" fontId="13" fillId="6" borderId="1" xfId="0" applyNumberFormat="1" applyFont="1" applyFill="1" applyBorder="1" applyAlignment="1" applyProtection="1">
      <alignment horizontal="center"/>
      <protection hidden="1"/>
    </xf>
    <xf numFmtId="165" fontId="12" fillId="2" borderId="0" xfId="0" applyNumberFormat="1" applyFont="1" applyFill="1" applyProtection="1">
      <protection hidden="1"/>
    </xf>
    <xf numFmtId="2" fontId="12" fillId="2" borderId="0" xfId="0" applyNumberFormat="1" applyFont="1" applyFill="1" applyProtection="1">
      <protection hidden="1"/>
    </xf>
    <xf numFmtId="165" fontId="18" fillId="2" borderId="0" xfId="0" applyNumberFormat="1" applyFont="1" applyFill="1" applyAlignment="1" applyProtection="1">
      <alignment horizontal="center"/>
      <protection hidden="1"/>
    </xf>
    <xf numFmtId="1" fontId="17" fillId="6" borderId="5" xfId="0" applyNumberFormat="1" applyFont="1" applyFill="1" applyBorder="1" applyAlignment="1" applyProtection="1">
      <alignment horizontal="center"/>
      <protection hidden="1"/>
    </xf>
    <xf numFmtId="166" fontId="22" fillId="6" borderId="1" xfId="0" applyNumberFormat="1" applyFont="1" applyFill="1" applyBorder="1" applyProtection="1">
      <protection hidden="1"/>
    </xf>
    <xf numFmtId="2" fontId="17" fillId="5" borderId="1" xfId="0" applyNumberFormat="1" applyFont="1" applyFill="1" applyBorder="1" applyProtection="1">
      <protection hidden="1"/>
    </xf>
    <xf numFmtId="2" fontId="17" fillId="2" borderId="0" xfId="0" applyNumberFormat="1" applyFont="1" applyFill="1" applyBorder="1" applyAlignment="1" applyProtection="1">
      <protection hidden="1"/>
    </xf>
    <xf numFmtId="2" fontId="25" fillId="8" borderId="0" xfId="0" applyNumberFormat="1" applyFont="1" applyFill="1" applyAlignment="1" applyProtection="1">
      <protection hidden="1"/>
    </xf>
    <xf numFmtId="2" fontId="9" fillId="4" borderId="3" xfId="0" applyNumberFormat="1" applyFont="1" applyFill="1" applyBorder="1" applyAlignment="1" applyProtection="1">
      <protection hidden="1"/>
    </xf>
    <xf numFmtId="1" fontId="5" fillId="6" borderId="1" xfId="0" applyNumberFormat="1" applyFont="1" applyFill="1" applyBorder="1" applyAlignment="1" applyProtection="1">
      <protection hidden="1"/>
    </xf>
    <xf numFmtId="166" fontId="26" fillId="8" borderId="0" xfId="0" applyNumberFormat="1" applyFont="1" applyFill="1" applyProtection="1">
      <protection hidden="1"/>
    </xf>
    <xf numFmtId="166" fontId="12" fillId="6" borderId="0" xfId="0" applyNumberFormat="1" applyFont="1" applyFill="1" applyProtection="1">
      <protection hidden="1"/>
    </xf>
    <xf numFmtId="165" fontId="27" fillId="7" borderId="3" xfId="0" applyNumberFormat="1" applyFont="1" applyFill="1" applyBorder="1" applyProtection="1">
      <protection hidden="1"/>
    </xf>
    <xf numFmtId="165" fontId="28" fillId="7" borderId="2" xfId="0" applyNumberFormat="1" applyFont="1" applyFill="1" applyBorder="1" applyAlignment="1" applyProtection="1">
      <alignment horizontal="center"/>
      <protection hidden="1"/>
    </xf>
    <xf numFmtId="165" fontId="28" fillId="7" borderId="1" xfId="0" applyNumberFormat="1" applyFont="1" applyFill="1" applyBorder="1" applyAlignment="1" applyProtection="1">
      <alignment horizontal="center"/>
      <protection hidden="1"/>
    </xf>
    <xf numFmtId="1" fontId="29" fillId="7" borderId="0" xfId="0" applyNumberFormat="1" applyFont="1" applyFill="1" applyAlignment="1" applyProtection="1">
      <protection hidden="1"/>
    </xf>
    <xf numFmtId="0" fontId="28" fillId="7" borderId="0" xfId="0" applyFont="1" applyFill="1" applyBorder="1" applyProtection="1">
      <protection hidden="1"/>
    </xf>
    <xf numFmtId="0" fontId="16" fillId="6" borderId="0" xfId="0" applyFont="1" applyFill="1" applyProtection="1">
      <protection hidden="1"/>
    </xf>
    <xf numFmtId="2" fontId="12" fillId="6" borderId="0" xfId="0" applyNumberFormat="1" applyFont="1" applyFill="1" applyProtection="1">
      <protection hidden="1"/>
    </xf>
    <xf numFmtId="170" fontId="17" fillId="5" borderId="1" xfId="0" applyNumberFormat="1" applyFont="1" applyFill="1" applyBorder="1" applyProtection="1">
      <protection hidden="1"/>
    </xf>
    <xf numFmtId="165" fontId="26" fillId="8" borderId="0" xfId="0" applyNumberFormat="1" applyFont="1" applyFill="1" applyProtection="1">
      <protection hidden="1"/>
    </xf>
    <xf numFmtId="165" fontId="22" fillId="2" borderId="1" xfId="0" applyNumberFormat="1" applyFont="1" applyFill="1" applyBorder="1" applyAlignment="1" applyProtection="1">
      <alignment horizontal="center"/>
      <protection hidden="1"/>
    </xf>
    <xf numFmtId="165" fontId="14" fillId="2" borderId="0" xfId="0" applyNumberFormat="1" applyFont="1" applyFill="1" applyBorder="1" applyAlignment="1" applyProtection="1">
      <alignment horizontal="center"/>
      <protection hidden="1"/>
    </xf>
    <xf numFmtId="165" fontId="5" fillId="2" borderId="0" xfId="0" applyNumberFormat="1" applyFont="1" applyFill="1" applyBorder="1" applyAlignment="1" applyProtection="1">
      <protection hidden="1"/>
    </xf>
    <xf numFmtId="165" fontId="13" fillId="2" borderId="0" xfId="0" applyNumberFormat="1" applyFont="1" applyFill="1" applyAlignment="1" applyProtection="1">
      <alignment horizontal="center"/>
      <protection hidden="1"/>
    </xf>
    <xf numFmtId="165" fontId="12" fillId="2" borderId="0" xfId="0" applyNumberFormat="1" applyFont="1" applyFill="1" applyBorder="1" applyAlignment="1" applyProtection="1">
      <protection hidden="1"/>
    </xf>
    <xf numFmtId="165" fontId="15" fillId="2" borderId="0" xfId="0" applyNumberFormat="1" applyFont="1" applyFill="1" applyBorder="1" applyAlignment="1" applyProtection="1">
      <protection hidden="1"/>
    </xf>
    <xf numFmtId="165" fontId="7" fillId="2" borderId="0" xfId="0" applyNumberFormat="1" applyFont="1" applyFill="1" applyAlignment="1" applyProtection="1">
      <protection hidden="1"/>
    </xf>
    <xf numFmtId="165" fontId="5" fillId="6" borderId="1" xfId="0" applyNumberFormat="1" applyFont="1" applyFill="1" applyBorder="1" applyAlignment="1" applyProtection="1">
      <protection hidden="1"/>
    </xf>
    <xf numFmtId="165" fontId="25" fillId="8" borderId="0" xfId="0" applyNumberFormat="1" applyFont="1" applyFill="1" applyAlignment="1" applyProtection="1">
      <protection hidden="1"/>
    </xf>
    <xf numFmtId="165" fontId="9" fillId="4" borderId="3" xfId="0" applyNumberFormat="1" applyFont="1" applyFill="1" applyBorder="1" applyAlignment="1" applyProtection="1">
      <protection hidden="1"/>
    </xf>
    <xf numFmtId="165" fontId="6" fillId="2" borderId="0" xfId="0" applyNumberFormat="1" applyFont="1" applyFill="1" applyBorder="1" applyAlignment="1" applyProtection="1">
      <protection hidden="1"/>
    </xf>
    <xf numFmtId="165" fontId="6" fillId="6" borderId="3" xfId="0" applyNumberFormat="1" applyFont="1" applyFill="1" applyBorder="1" applyAlignment="1" applyProtection="1">
      <protection hidden="1"/>
    </xf>
    <xf numFmtId="165" fontId="18" fillId="2" borderId="2" xfId="0" applyNumberFormat="1" applyFont="1" applyFill="1" applyBorder="1" applyAlignment="1" applyProtection="1">
      <protection hidden="1"/>
    </xf>
    <xf numFmtId="165" fontId="17" fillId="2" borderId="0" xfId="0" applyNumberFormat="1" applyFont="1" applyFill="1" applyBorder="1" applyAlignment="1" applyProtection="1">
      <protection hidden="1"/>
    </xf>
    <xf numFmtId="165" fontId="6" fillId="2" borderId="0" xfId="1" applyNumberFormat="1" applyFont="1" applyFill="1" applyBorder="1" applyAlignment="1" applyProtection="1">
      <protection hidden="1"/>
    </xf>
    <xf numFmtId="165" fontId="8" fillId="2" borderId="0" xfId="0" applyNumberFormat="1" applyFont="1" applyFill="1" applyAlignment="1" applyProtection="1">
      <protection hidden="1"/>
    </xf>
    <xf numFmtId="165" fontId="8" fillId="2" borderId="0" xfId="1" applyNumberFormat="1" applyFont="1" applyFill="1" applyAlignment="1" applyProtection="1">
      <protection hidden="1"/>
    </xf>
    <xf numFmtId="165" fontId="7" fillId="2" borderId="0" xfId="1" applyNumberFormat="1" applyFont="1" applyFill="1" applyBorder="1" applyAlignment="1" applyProtection="1">
      <protection hidden="1"/>
    </xf>
    <xf numFmtId="165" fontId="8" fillId="2" borderId="0" xfId="1" applyNumberFormat="1" applyFont="1" applyFill="1" applyAlignment="1" applyProtection="1">
      <alignment horizontal="center"/>
      <protection hidden="1"/>
    </xf>
    <xf numFmtId="165" fontId="8" fillId="2" borderId="0" xfId="0" applyNumberFormat="1" applyFont="1" applyFill="1" applyAlignment="1" applyProtection="1">
      <alignment horizontal="center"/>
      <protection hidden="1"/>
    </xf>
    <xf numFmtId="165" fontId="30" fillId="6" borderId="0" xfId="0" applyNumberFormat="1" applyFont="1" applyFill="1" applyAlignment="1" applyProtection="1">
      <protection hidden="1"/>
    </xf>
    <xf numFmtId="165" fontId="8" fillId="2" borderId="0" xfId="0" applyNumberFormat="1" applyFont="1" applyFill="1" applyBorder="1" applyAlignment="1" applyProtection="1">
      <protection hidden="1"/>
    </xf>
    <xf numFmtId="165" fontId="8" fillId="2" borderId="0" xfId="0" applyNumberFormat="1" applyFont="1" applyFill="1" applyBorder="1" applyAlignment="1" applyProtection="1">
      <alignment horizontal="center"/>
      <protection hidden="1"/>
    </xf>
    <xf numFmtId="165" fontId="8" fillId="2" borderId="0" xfId="1" applyNumberFormat="1" applyFont="1" applyFill="1" applyBorder="1" applyAlignment="1" applyProtection="1">
      <alignment horizontal="center"/>
      <protection hidden="1"/>
    </xf>
    <xf numFmtId="165" fontId="34" fillId="2" borderId="0" xfId="0" applyNumberFormat="1" applyFont="1" applyFill="1" applyBorder="1" applyAlignment="1" applyProtection="1">
      <protection hidden="1"/>
    </xf>
    <xf numFmtId="2" fontId="5" fillId="2" borderId="0" xfId="0" applyNumberFormat="1" applyFont="1" applyFill="1" applyBorder="1" applyAlignment="1" applyProtection="1">
      <protection hidden="1"/>
    </xf>
    <xf numFmtId="167" fontId="34" fillId="2" borderId="0" xfId="0" applyNumberFormat="1" applyFont="1" applyFill="1" applyBorder="1" applyAlignment="1" applyProtection="1">
      <protection hidden="1"/>
    </xf>
    <xf numFmtId="164" fontId="34" fillId="2" borderId="0" xfId="0" applyNumberFormat="1" applyFont="1" applyFill="1" applyBorder="1" applyAlignment="1" applyProtection="1">
      <protection hidden="1"/>
    </xf>
    <xf numFmtId="2" fontId="33" fillId="2" borderId="0" xfId="0" applyNumberFormat="1" applyFont="1" applyFill="1" applyBorder="1" applyAlignment="1" applyProtection="1">
      <protection hidden="1"/>
    </xf>
    <xf numFmtId="2" fontId="6" fillId="2" borderId="0" xfId="0" applyNumberFormat="1" applyFont="1" applyFill="1" applyBorder="1" applyAlignment="1" applyProtection="1">
      <protection hidden="1"/>
    </xf>
    <xf numFmtId="164" fontId="8" fillId="2" borderId="0" xfId="0" applyNumberFormat="1" applyFont="1" applyFill="1" applyBorder="1" applyAlignment="1" applyProtection="1">
      <protection hidden="1"/>
    </xf>
    <xf numFmtId="164" fontId="8" fillId="2" borderId="0" xfId="1" applyNumberFormat="1" applyFont="1" applyFill="1" applyAlignment="1" applyProtection="1">
      <protection hidden="1"/>
    </xf>
    <xf numFmtId="2" fontId="33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/>
    <xf numFmtId="2" fontId="21" fillId="2" borderId="4" xfId="0" applyNumberFormat="1" applyFont="1" applyFill="1" applyBorder="1" applyAlignment="1" applyProtection="1">
      <alignment horizontal="center"/>
      <protection hidden="1"/>
    </xf>
    <xf numFmtId="2" fontId="21" fillId="2" borderId="6" xfId="0" applyNumberFormat="1" applyFont="1" applyFill="1" applyBorder="1" applyAlignment="1" applyProtection="1">
      <alignment horizontal="center"/>
      <protection hidden="1"/>
    </xf>
    <xf numFmtId="0" fontId="11" fillId="2" borderId="0" xfId="0" applyFont="1" applyFill="1" applyBorder="1" applyAlignment="1" applyProtection="1">
      <protection hidden="1"/>
    </xf>
    <xf numFmtId="2" fontId="13" fillId="2" borderId="0" xfId="0" applyNumberFormat="1" applyFont="1" applyFill="1" applyBorder="1" applyAlignment="1" applyProtection="1">
      <alignment horizontal="center"/>
      <protection hidden="1"/>
    </xf>
    <xf numFmtId="167" fontId="5" fillId="2" borderId="0" xfId="0" applyNumberFormat="1" applyFont="1" applyFill="1" applyBorder="1" applyAlignment="1" applyProtection="1">
      <protection hidden="1"/>
    </xf>
    <xf numFmtId="166" fontId="8" fillId="2" borderId="0" xfId="0" applyNumberFormat="1" applyFont="1" applyFill="1" applyBorder="1" applyAlignment="1" applyProtection="1">
      <protection hidden="1"/>
    </xf>
    <xf numFmtId="166" fontId="8" fillId="2" borderId="0" xfId="1" applyNumberFormat="1" applyFont="1" applyFill="1" applyBorder="1" applyAlignment="1" applyProtection="1">
      <alignment horizontal="center"/>
      <protection hidden="1"/>
    </xf>
    <xf numFmtId="164" fontId="4" fillId="2" borderId="0" xfId="0" applyNumberFormat="1" applyFont="1" applyFill="1" applyBorder="1" applyProtection="1">
      <protection hidden="1"/>
    </xf>
    <xf numFmtId="0" fontId="4" fillId="2" borderId="0" xfId="0" applyFont="1" applyFill="1" applyBorder="1"/>
    <xf numFmtId="165" fontId="11" fillId="2" borderId="0" xfId="0" applyNumberFormat="1" applyFont="1" applyFill="1" applyBorder="1" applyAlignment="1" applyProtection="1">
      <protection hidden="1"/>
    </xf>
    <xf numFmtId="165" fontId="13" fillId="2" borderId="0" xfId="0" applyNumberFormat="1" applyFont="1" applyFill="1" applyBorder="1" applyAlignment="1" applyProtection="1">
      <alignment horizontal="center"/>
      <protection hidden="1"/>
    </xf>
    <xf numFmtId="165" fontId="31" fillId="2" borderId="0" xfId="0" applyNumberFormat="1" applyFont="1" applyFill="1" applyBorder="1" applyAlignment="1" applyProtection="1">
      <alignment horizontal="center"/>
      <protection hidden="1"/>
    </xf>
    <xf numFmtId="165" fontId="32" fillId="2" borderId="7" xfId="0" applyNumberFormat="1" applyFont="1" applyFill="1" applyBorder="1" applyAlignment="1" applyProtection="1">
      <alignment horizontal="center"/>
      <protection hidden="1"/>
    </xf>
    <xf numFmtId="165" fontId="32" fillId="2" borderId="8" xfId="0" applyNumberFormat="1" applyFont="1" applyFill="1" applyBorder="1" applyAlignment="1" applyProtection="1">
      <alignment horizontal="center"/>
      <protection hidden="1"/>
    </xf>
    <xf numFmtId="2" fontId="27" fillId="7" borderId="3" xfId="0" applyNumberFormat="1" applyFont="1" applyFill="1" applyBorder="1" applyProtection="1">
      <protection hidden="1"/>
    </xf>
    <xf numFmtId="2" fontId="35" fillId="2" borderId="0" xfId="0" applyNumberFormat="1" applyFont="1" applyFill="1" applyBorder="1" applyAlignment="1" applyProtection="1">
      <protection hidden="1"/>
    </xf>
    <xf numFmtId="165" fontId="30" fillId="2" borderId="0" xfId="0" applyNumberFormat="1" applyFont="1" applyFill="1" applyBorder="1" applyAlignment="1" applyProtection="1">
      <protection hidden="1"/>
    </xf>
    <xf numFmtId="165" fontId="16" fillId="2" borderId="0" xfId="0" applyNumberFormat="1" applyFont="1" applyFill="1" applyBorder="1" applyAlignment="1" applyProtection="1">
      <protection hidden="1"/>
    </xf>
    <xf numFmtId="170" fontId="36" fillId="2" borderId="0" xfId="0" applyNumberFormat="1" applyFont="1" applyFill="1" applyAlignment="1" applyProtection="1">
      <protection hidden="1"/>
    </xf>
    <xf numFmtId="170" fontId="17" fillId="5" borderId="0" xfId="0" applyNumberFormat="1" applyFont="1" applyFill="1" applyAlignment="1" applyProtection="1">
      <protection hidden="1"/>
    </xf>
    <xf numFmtId="165" fontId="37" fillId="2" borderId="0" xfId="0" applyNumberFormat="1" applyFont="1" applyFill="1" applyBorder="1" applyAlignment="1" applyProtection="1">
      <alignment horizontal="center"/>
      <protection hidden="1"/>
    </xf>
    <xf numFmtId="165" fontId="17" fillId="7" borderId="2" xfId="0" applyNumberFormat="1" applyFont="1" applyFill="1" applyBorder="1" applyAlignment="1" applyProtection="1">
      <alignment horizontal="center"/>
      <protection hidden="1"/>
    </xf>
    <xf numFmtId="165" fontId="17" fillId="7" borderId="1" xfId="0" applyNumberFormat="1" applyFont="1" applyFill="1" applyBorder="1" applyAlignment="1" applyProtection="1">
      <alignment horizontal="center"/>
      <protection hidden="1"/>
    </xf>
    <xf numFmtId="165" fontId="16" fillId="2" borderId="1" xfId="0" applyNumberFormat="1" applyFont="1" applyFill="1" applyBorder="1" applyAlignment="1" applyProtection="1">
      <alignment horizontal="center"/>
      <protection hidden="1"/>
    </xf>
    <xf numFmtId="2" fontId="16" fillId="2" borderId="1" xfId="0" applyNumberFormat="1" applyFont="1" applyFill="1" applyBorder="1" applyAlignment="1" applyProtection="1">
      <alignment horizontal="center"/>
      <protection hidden="1"/>
    </xf>
    <xf numFmtId="2" fontId="16" fillId="2" borderId="1" xfId="0" applyNumberFormat="1" applyFont="1" applyFill="1" applyBorder="1" applyAlignment="1" applyProtection="1">
      <protection hidden="1"/>
    </xf>
    <xf numFmtId="165" fontId="38" fillId="4" borderId="0" xfId="0" applyNumberFormat="1" applyFont="1" applyFill="1" applyAlignment="1" applyProtection="1">
      <alignment horizontal="center"/>
      <protection hidden="1"/>
    </xf>
    <xf numFmtId="165" fontId="33" fillId="2" borderId="0" xfId="0" applyNumberFormat="1" applyFont="1" applyFill="1" applyAlignment="1" applyProtection="1">
      <alignment horizontal="center"/>
      <protection hidden="1"/>
    </xf>
    <xf numFmtId="165" fontId="39" fillId="4" borderId="0" xfId="0" applyNumberFormat="1" applyFont="1" applyFill="1" applyAlignment="1" applyProtection="1">
      <alignment horizontal="center"/>
      <protection hidden="1"/>
    </xf>
    <xf numFmtId="166" fontId="12" fillId="2" borderId="0" xfId="0" applyNumberFormat="1" applyFont="1" applyFill="1" applyAlignment="1" applyProtection="1">
      <protection hidden="1"/>
    </xf>
    <xf numFmtId="165" fontId="38" fillId="4" borderId="0" xfId="0" applyNumberFormat="1" applyFont="1" applyFill="1" applyBorder="1" applyAlignment="1" applyProtection="1">
      <alignment horizontal="center"/>
      <protection hidden="1"/>
    </xf>
    <xf numFmtId="165" fontId="12" fillId="2" borderId="0" xfId="0" applyNumberFormat="1" applyFont="1" applyFill="1" applyAlignment="1" applyProtection="1">
      <protection hidden="1"/>
    </xf>
    <xf numFmtId="165" fontId="33" fillId="2" borderId="0" xfId="0" applyNumberFormat="1" applyFont="1" applyFill="1" applyBorder="1" applyAlignment="1" applyProtection="1">
      <alignment horizontal="center"/>
      <protection hidden="1"/>
    </xf>
    <xf numFmtId="165" fontId="33" fillId="6" borderId="1" xfId="0" applyNumberFormat="1" applyFont="1" applyFill="1" applyBorder="1" applyAlignment="1" applyProtection="1">
      <alignment horizontal="center"/>
      <protection hidden="1"/>
    </xf>
    <xf numFmtId="166" fontId="33" fillId="2" borderId="0" xfId="0" applyNumberFormat="1" applyFont="1" applyFill="1" applyAlignment="1" applyProtection="1">
      <alignment horizontal="center"/>
      <protection hidden="1"/>
    </xf>
    <xf numFmtId="166" fontId="12" fillId="2" borderId="0" xfId="0" applyNumberFormat="1" applyFont="1" applyFill="1" applyBorder="1" applyProtection="1">
      <protection hidden="1"/>
    </xf>
    <xf numFmtId="165" fontId="14" fillId="2" borderId="0" xfId="0" applyNumberFormat="1" applyFont="1" applyFill="1" applyAlignment="1" applyProtection="1">
      <protection hidden="1"/>
    </xf>
    <xf numFmtId="168" fontId="14" fillId="2" borderId="0" xfId="0" applyNumberFormat="1" applyFont="1" applyFill="1" applyAlignment="1" applyProtection="1">
      <protection hidden="1"/>
    </xf>
    <xf numFmtId="165" fontId="14" fillId="2" borderId="0" xfId="0" applyNumberFormat="1" applyFont="1" applyFill="1" applyBorder="1" applyAlignment="1" applyProtection="1">
      <protection hidden="1"/>
    </xf>
    <xf numFmtId="165" fontId="18" fillId="6" borderId="0" xfId="0" applyNumberFormat="1" applyFont="1" applyFill="1" applyAlignment="1" applyProtection="1">
      <protection hidden="1"/>
    </xf>
    <xf numFmtId="165" fontId="12" fillId="6" borderId="1" xfId="0" applyNumberFormat="1" applyFont="1" applyFill="1" applyBorder="1" applyAlignment="1" applyProtection="1">
      <protection hidden="1"/>
    </xf>
    <xf numFmtId="1" fontId="12" fillId="2" borderId="0" xfId="0" applyNumberFormat="1" applyFont="1" applyFill="1" applyAlignment="1" applyProtection="1">
      <protection hidden="1"/>
    </xf>
    <xf numFmtId="165" fontId="12" fillId="2" borderId="0" xfId="0" applyNumberFormat="1" applyFont="1" applyFill="1" applyBorder="1" applyAlignment="1" applyProtection="1">
      <alignment horizontal="center"/>
      <protection hidden="1"/>
    </xf>
    <xf numFmtId="165" fontId="26" fillId="8" borderId="0" xfId="0" applyNumberFormat="1" applyFont="1" applyFill="1" applyAlignment="1" applyProtection="1">
      <protection hidden="1"/>
    </xf>
    <xf numFmtId="2" fontId="12" fillId="2" borderId="0" xfId="0" applyNumberFormat="1" applyFont="1" applyFill="1" applyAlignment="1" applyProtection="1">
      <protection hidden="1"/>
    </xf>
    <xf numFmtId="164" fontId="12" fillId="2" borderId="0" xfId="0" applyNumberFormat="1" applyFont="1" applyFill="1" applyBorder="1" applyProtection="1">
      <protection hidden="1"/>
    </xf>
    <xf numFmtId="165" fontId="26" fillId="4" borderId="3" xfId="0" applyNumberFormat="1" applyFont="1" applyFill="1" applyBorder="1" applyAlignment="1" applyProtection="1">
      <protection hidden="1"/>
    </xf>
    <xf numFmtId="165" fontId="18" fillId="2" borderId="0" xfId="0" applyNumberFormat="1" applyFont="1" applyFill="1" applyBorder="1" applyAlignment="1" applyProtection="1">
      <protection hidden="1"/>
    </xf>
    <xf numFmtId="2" fontId="12" fillId="2" borderId="0" xfId="0" applyNumberFormat="1" applyFont="1" applyFill="1" applyBorder="1" applyProtection="1">
      <protection hidden="1"/>
    </xf>
    <xf numFmtId="165" fontId="12" fillId="6" borderId="3" xfId="0" applyNumberFormat="1" applyFont="1" applyFill="1" applyBorder="1" applyAlignment="1" applyProtection="1">
      <protection hidden="1"/>
    </xf>
    <xf numFmtId="1" fontId="17" fillId="7" borderId="0" xfId="0" applyNumberFormat="1" applyFont="1" applyFill="1" applyAlignment="1" applyProtection="1">
      <protection hidden="1"/>
    </xf>
    <xf numFmtId="0" fontId="17" fillId="7" borderId="0" xfId="0" applyFont="1" applyFill="1" applyBorder="1" applyProtection="1">
      <protection hidden="1"/>
    </xf>
    <xf numFmtId="1" fontId="12" fillId="2" borderId="0" xfId="1" applyNumberFormat="1" applyFont="1" applyFill="1" applyAlignment="1" applyProtection="1">
      <protection hidden="1"/>
    </xf>
    <xf numFmtId="165" fontId="40" fillId="7" borderId="3" xfId="0" applyNumberFormat="1" applyFont="1" applyFill="1" applyBorder="1" applyProtection="1">
      <protection hidden="1"/>
    </xf>
    <xf numFmtId="2" fontId="40" fillId="7" borderId="3" xfId="0" applyNumberFormat="1" applyFont="1" applyFill="1" applyBorder="1" applyProtection="1">
      <protection hidden="1"/>
    </xf>
    <xf numFmtId="164" fontId="12" fillId="2" borderId="0" xfId="1" applyNumberFormat="1" applyFont="1" applyFill="1" applyAlignment="1" applyProtection="1">
      <protection hidden="1"/>
    </xf>
    <xf numFmtId="167" fontId="12" fillId="2" borderId="0" xfId="0" applyNumberFormat="1" applyFont="1" applyFill="1" applyBorder="1" applyAlignment="1" applyProtection="1">
      <alignment horizontal="center"/>
      <protection hidden="1"/>
    </xf>
    <xf numFmtId="165" fontId="12" fillId="2" borderId="0" xfId="1" applyNumberFormat="1" applyFont="1" applyFill="1" applyAlignment="1" applyProtection="1">
      <protection hidden="1"/>
    </xf>
    <xf numFmtId="165" fontId="12" fillId="2" borderId="0" xfId="1" applyNumberFormat="1" applyFont="1" applyFill="1" applyBorder="1" applyAlignment="1" applyProtection="1">
      <protection hidden="1"/>
    </xf>
    <xf numFmtId="167" fontId="12" fillId="2" borderId="0" xfId="1" applyNumberFormat="1" applyFont="1" applyFill="1" applyBorder="1" applyAlignment="1" applyProtection="1">
      <protection hidden="1"/>
    </xf>
    <xf numFmtId="166" fontId="33" fillId="2" borderId="0" xfId="0" applyNumberFormat="1" applyFont="1" applyFill="1" applyBorder="1" applyProtection="1">
      <protection hidden="1"/>
    </xf>
    <xf numFmtId="166" fontId="12" fillId="2" borderId="0" xfId="1" applyNumberFormat="1" applyFont="1" applyFill="1" applyBorder="1" applyAlignment="1" applyProtection="1">
      <protection hidden="1"/>
    </xf>
    <xf numFmtId="166" fontId="12" fillId="2" borderId="0" xfId="1" applyNumberFormat="1" applyFont="1" applyFill="1" applyAlignment="1" applyProtection="1">
      <protection hidden="1"/>
    </xf>
    <xf numFmtId="165" fontId="14" fillId="2" borderId="0" xfId="1" applyNumberFormat="1" applyFont="1" applyFill="1" applyBorder="1" applyAlignment="1" applyProtection="1">
      <protection hidden="1"/>
    </xf>
    <xf numFmtId="166" fontId="16" fillId="6" borderId="1" xfId="0" applyNumberFormat="1" applyFont="1" applyFill="1" applyBorder="1" applyProtection="1">
      <protection hidden="1"/>
    </xf>
    <xf numFmtId="165" fontId="12" fillId="2" borderId="0" xfId="1" applyNumberFormat="1" applyFont="1" applyFill="1" applyBorder="1" applyAlignment="1" applyProtection="1">
      <alignment horizontal="center"/>
      <protection hidden="1"/>
    </xf>
    <xf numFmtId="165" fontId="12" fillId="2" borderId="0" xfId="1" applyNumberFormat="1" applyFont="1" applyFill="1" applyAlignment="1" applyProtection="1">
      <alignment horizontal="center"/>
      <protection hidden="1"/>
    </xf>
    <xf numFmtId="166" fontId="12" fillId="2" borderId="0" xfId="1" applyNumberFormat="1" applyFont="1" applyFill="1" applyAlignment="1" applyProtection="1">
      <alignment horizontal="center"/>
      <protection hidden="1"/>
    </xf>
    <xf numFmtId="165" fontId="12" fillId="2" borderId="0" xfId="0" applyNumberFormat="1" applyFont="1" applyFill="1" applyAlignment="1" applyProtection="1">
      <alignment horizontal="center"/>
      <protection hidden="1"/>
    </xf>
    <xf numFmtId="166" fontId="12" fillId="2" borderId="0" xfId="0" applyNumberFormat="1" applyFont="1" applyFill="1" applyAlignment="1" applyProtection="1">
      <alignment horizontal="center"/>
      <protection hidden="1"/>
    </xf>
    <xf numFmtId="166" fontId="12" fillId="2" borderId="0" xfId="0" applyNumberFormat="1" applyFont="1" applyFill="1" applyBorder="1" applyAlignment="1" applyProtection="1">
      <alignment horizontal="center"/>
      <protection hidden="1"/>
    </xf>
    <xf numFmtId="164" fontId="12" fillId="2" borderId="0" xfId="0" applyNumberFormat="1" applyFont="1" applyFill="1" applyProtection="1">
      <protection hidden="1"/>
    </xf>
    <xf numFmtId="166" fontId="12" fillId="2" borderId="0" xfId="0" applyNumberFormat="1" applyFont="1" applyFill="1" applyProtection="1">
      <protection hidden="1"/>
    </xf>
    <xf numFmtId="2" fontId="41" fillId="2" borderId="4" xfId="0" applyNumberFormat="1" applyFont="1" applyFill="1" applyBorder="1" applyAlignment="1" applyProtection="1">
      <alignment horizontal="center"/>
      <protection hidden="1"/>
    </xf>
    <xf numFmtId="2" fontId="41" fillId="2" borderId="6" xfId="0" applyNumberFormat="1" applyFont="1" applyFill="1" applyBorder="1" applyAlignment="1" applyProtection="1">
      <alignment horizontal="center"/>
      <protection hidden="1"/>
    </xf>
    <xf numFmtId="166" fontId="12" fillId="2" borderId="0" xfId="0" applyNumberFormat="1" applyFont="1" applyFill="1" applyBorder="1" applyAlignment="1" applyProtection="1">
      <protection hidden="1"/>
    </xf>
    <xf numFmtId="164" fontId="12" fillId="2" borderId="0" xfId="0" applyNumberFormat="1" applyFont="1" applyFill="1" applyAlignment="1" applyProtection="1">
      <protection hidden="1"/>
    </xf>
    <xf numFmtId="164" fontId="14" fillId="2" borderId="0" xfId="0" applyNumberFormat="1" applyFont="1" applyFill="1" applyAlignment="1" applyProtection="1">
      <protection hidden="1"/>
    </xf>
    <xf numFmtId="2" fontId="14" fillId="2" borderId="0" xfId="0" applyNumberFormat="1" applyFont="1" applyFill="1" applyAlignment="1" applyProtection="1">
      <protection hidden="1"/>
    </xf>
    <xf numFmtId="1" fontId="14" fillId="2" borderId="0" xfId="0" applyNumberFormat="1" applyFont="1" applyFill="1" applyAlignment="1" applyProtection="1">
      <protection hidden="1"/>
    </xf>
    <xf numFmtId="167" fontId="12" fillId="2" borderId="0" xfId="0" applyNumberFormat="1" applyFont="1" applyFill="1" applyBorder="1" applyAlignment="1" applyProtection="1">
      <protection hidden="1"/>
    </xf>
    <xf numFmtId="167" fontId="14" fillId="2" borderId="0" xfId="0" applyNumberFormat="1" applyFont="1" applyFill="1" applyBorder="1" applyAlignment="1" applyProtection="1">
      <protection hidden="1"/>
    </xf>
    <xf numFmtId="1" fontId="12" fillId="6" borderId="1" xfId="0" applyNumberFormat="1" applyFont="1" applyFill="1" applyBorder="1" applyAlignment="1" applyProtection="1">
      <protection hidden="1"/>
    </xf>
    <xf numFmtId="2" fontId="26" fillId="8" borderId="0" xfId="0" applyNumberFormat="1" applyFont="1" applyFill="1" applyAlignment="1" applyProtection="1">
      <protection hidden="1"/>
    </xf>
    <xf numFmtId="164" fontId="14" fillId="2" borderId="0" xfId="0" applyNumberFormat="1" applyFont="1" applyFill="1" applyBorder="1" applyAlignment="1" applyProtection="1">
      <protection hidden="1"/>
    </xf>
    <xf numFmtId="2" fontId="26" fillId="4" borderId="3" xfId="0" applyNumberFormat="1" applyFont="1" applyFill="1" applyBorder="1" applyAlignment="1" applyProtection="1">
      <protection hidden="1"/>
    </xf>
    <xf numFmtId="1" fontId="12" fillId="2" borderId="0" xfId="0" applyNumberFormat="1" applyFont="1" applyFill="1" applyBorder="1" applyAlignment="1" applyProtection="1">
      <protection hidden="1"/>
    </xf>
    <xf numFmtId="1" fontId="12" fillId="6" borderId="3" xfId="0" applyNumberFormat="1" applyFont="1" applyFill="1" applyBorder="1" applyAlignment="1" applyProtection="1">
      <protection hidden="1"/>
    </xf>
    <xf numFmtId="164" fontId="12" fillId="2" borderId="0" xfId="0" applyNumberFormat="1" applyFont="1" applyFill="1" applyBorder="1" applyAlignment="1" applyProtection="1">
      <protection hidden="1"/>
    </xf>
    <xf numFmtId="164" fontId="12" fillId="2" borderId="0" xfId="1" applyNumberFormat="1" applyFont="1" applyFill="1" applyBorder="1" applyAlignment="1" applyProtection="1">
      <protection hidden="1"/>
    </xf>
    <xf numFmtId="1" fontId="12" fillId="2" borderId="0" xfId="1" applyNumberFormat="1" applyFont="1" applyFill="1" applyBorder="1" applyAlignment="1" applyProtection="1">
      <protection hidden="1"/>
    </xf>
    <xf numFmtId="166" fontId="14" fillId="2" borderId="0" xfId="1" applyNumberFormat="1" applyFont="1" applyFill="1" applyBorder="1" applyAlignment="1" applyProtection="1">
      <protection hidden="1"/>
    </xf>
    <xf numFmtId="166" fontId="12" fillId="2" borderId="0" xfId="1" applyNumberFormat="1" applyFont="1" applyFill="1" applyBorder="1" applyAlignment="1" applyProtection="1">
      <alignment horizontal="center"/>
      <protection hidden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Sheet1!$A$1:$A$23</c:f>
              <c:numCache>
                <c:formatCode>0.000</c:formatCode>
                <c:ptCount val="23"/>
                <c:pt idx="0">
                  <c:v>134744.45802689408</c:v>
                </c:pt>
                <c:pt idx="1">
                  <c:v>134771.58765624999</c:v>
                </c:pt>
                <c:pt idx="2">
                  <c:v>135341.51863357332</c:v>
                </c:pt>
                <c:pt idx="3">
                  <c:v>135599.39648705861</c:v>
                </c:pt>
                <c:pt idx="4">
                  <c:v>132232.78710660894</c:v>
                </c:pt>
                <c:pt idx="5">
                  <c:v>3.0463153638250101E-5</c:v>
                </c:pt>
                <c:pt idx="6">
                  <c:v>134129.0704232564</c:v>
                </c:pt>
                <c:pt idx="7">
                  <c:v>132232.78708529388</c:v>
                </c:pt>
                <c:pt idx="8">
                  <c:v>134739.03210102289</c:v>
                </c:pt>
                <c:pt idx="9">
                  <c:v>135415.39211089662</c:v>
                </c:pt>
                <c:pt idx="10">
                  <c:v>9.1480941856606909E-6</c:v>
                </c:pt>
                <c:pt idx="11">
                  <c:v>-1829.6352517278715</c:v>
                </c:pt>
                <c:pt idx="12">
                  <c:v>134755.30987863644</c:v>
                </c:pt>
                <c:pt idx="13">
                  <c:v>3</c:v>
                </c:pt>
                <c:pt idx="14">
                  <c:v>132232.78707614579</c:v>
                </c:pt>
                <c:pt idx="15">
                  <c:v>131287.5626611925</c:v>
                </c:pt>
                <c:pt idx="16">
                  <c:v>131288.04859320083</c:v>
                </c:pt>
                <c:pt idx="17">
                  <c:v>131978.34280576484</c:v>
                </c:pt>
                <c:pt idx="18">
                  <c:v>132599.16800988311</c:v>
                </c:pt>
                <c:pt idx="19">
                  <c:v>132599.16800988311</c:v>
                </c:pt>
                <c:pt idx="20">
                  <c:v>132366</c:v>
                </c:pt>
                <c:pt idx="21">
                  <c:v>132366</c:v>
                </c:pt>
                <c:pt idx="22" formatCode="0.0000">
                  <c:v>132366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Sheet1!$B$1:$B$23</c:f>
              <c:numCache>
                <c:formatCode>0.000</c:formatCode>
                <c:ptCount val="23"/>
                <c:pt idx="0">
                  <c:v>135390.76761845552</c:v>
                </c:pt>
                <c:pt idx="1">
                  <c:v>135042.9883302337</c:v>
                </c:pt>
                <c:pt idx="2">
                  <c:v>135992.02973182368</c:v>
                </c:pt>
                <c:pt idx="3">
                  <c:v>133585.75685916876</c:v>
                </c:pt>
                <c:pt idx="4">
                  <c:v>5.7569891097955406E-2</c:v>
                </c:pt>
                <c:pt idx="5">
                  <c:v>132232.6090235094</c:v>
                </c:pt>
                <c:pt idx="6">
                  <c:v>132233.03709114916</c:v>
                </c:pt>
                <c:pt idx="7">
                  <c:v>132232.80866485339</c:v>
                </c:pt>
                <c:pt idx="8">
                  <c:v>105625.9735104245</c:v>
                </c:pt>
                <c:pt idx="9">
                  <c:v>165541.85407800705</c:v>
                </c:pt>
                <c:pt idx="10">
                  <c:v>2.8784945548977703E-2</c:v>
                </c:pt>
                <c:pt idx="11">
                  <c:v>94999.363920890333</c:v>
                </c:pt>
                <c:pt idx="12">
                  <c:v>148887.31335353994</c:v>
                </c:pt>
                <c:pt idx="13">
                  <c:v>0.24281876543696743</c:v>
                </c:pt>
                <c:pt idx="15">
                  <c:v>132047.91865424614</c:v>
                </c:pt>
                <c:pt idx="16">
                  <c:v>132048.07845319383</c:v>
                </c:pt>
                <c:pt idx="17">
                  <c:v>131978.08355907188</c:v>
                </c:pt>
                <c:pt idx="18">
                  <c:v>132642.42026041666</c:v>
                </c:pt>
                <c:pt idx="19">
                  <c:v>132642.42026041666</c:v>
                </c:pt>
                <c:pt idx="20">
                  <c:v>134772.23126707651</c:v>
                </c:pt>
                <c:pt idx="21">
                  <c:v>133180.93308156217</c:v>
                </c:pt>
                <c:pt idx="22" formatCode="0.0000">
                  <c:v>132048.11267548261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Sheet1!$C$1:$C$23</c:f>
              <c:numCache>
                <c:formatCode>0.000</c:formatCode>
                <c:ptCount val="23"/>
                <c:pt idx="0">
                  <c:v>132366</c:v>
                </c:pt>
                <c:pt idx="1">
                  <c:v>1.3047189019683476</c:v>
                </c:pt>
                <c:pt idx="2">
                  <c:v>131827.45713540792</c:v>
                </c:pt>
                <c:pt idx="3">
                  <c:v>132232.83744979894</c:v>
                </c:pt>
                <c:pt idx="4">
                  <c:v>132232.80866485339</c:v>
                </c:pt>
                <c:pt idx="5">
                  <c:v>-0.98560752722551115</c:v>
                </c:pt>
                <c:pt idx="6">
                  <c:v>0</c:v>
                </c:pt>
                <c:pt idx="7">
                  <c:v>-0.3733958243638939</c:v>
                </c:pt>
                <c:pt idx="8">
                  <c:v>0.8680217351276287</c:v>
                </c:pt>
                <c:pt idx="9">
                  <c:v>132232.85184227483</c:v>
                </c:pt>
                <c:pt idx="10">
                  <c:v>132232.79427238373</c:v>
                </c:pt>
                <c:pt idx="11">
                  <c:v>1.5</c:v>
                </c:pt>
                <c:pt idx="12">
                  <c:v>1</c:v>
                </c:pt>
                <c:pt idx="13">
                  <c:v>0.45685258532495715</c:v>
                </c:pt>
                <c:pt idx="14">
                  <c:v>-0.8680217351276287</c:v>
                </c:pt>
                <c:pt idx="15">
                  <c:v>132598.76936177703</c:v>
                </c:pt>
                <c:pt idx="16">
                  <c:v>132598.90137089984</c:v>
                </c:pt>
                <c:pt idx="18">
                  <c:v>132048.11267548261</c:v>
                </c:pt>
                <c:pt idx="19">
                  <c:v>132048.11267548261</c:v>
                </c:pt>
                <c:pt idx="20">
                  <c:v>133947.56104443868</c:v>
                </c:pt>
                <c:pt idx="21">
                  <c:v>131961.02674377573</c:v>
                </c:pt>
                <c:pt idx="22" formatCode="0.0000">
                  <c:v>134162.39448009583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Sheet1!$D$1:$D$23</c:f>
              <c:numCache>
                <c:formatCode>0.000</c:formatCode>
                <c:ptCount val="23"/>
                <c:pt idx="0">
                  <c:v>131288</c:v>
                </c:pt>
                <c:pt idx="1">
                  <c:v>1</c:v>
                </c:pt>
                <c:pt idx="2">
                  <c:v>131827</c:v>
                </c:pt>
                <c:pt idx="3">
                  <c:v>0.90000000000145519</c:v>
                </c:pt>
                <c:pt idx="4">
                  <c:v>0.48593200833406092</c:v>
                </c:pt>
                <c:pt idx="5">
                  <c:v>0.43733880750136195</c:v>
                </c:pt>
                <c:pt idx="6">
                  <c:v>0.90000000000145519</c:v>
                </c:pt>
                <c:pt idx="7">
                  <c:v>132366.48593200833</c:v>
                </c:pt>
                <c:pt idx="8">
                  <c:v>132366.04859320083</c:v>
                </c:pt>
                <c:pt idx="9">
                  <c:v>131288.42833880751</c:v>
                </c:pt>
                <c:pt idx="10">
                  <c:v>131287.99100000001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0.3061058514308086</c:v>
                </c:pt>
                <c:pt idx="15">
                  <c:v>0.259246692963643</c:v>
                </c:pt>
                <c:pt idx="17">
                  <c:v>131978.21318292757</c:v>
                </c:pt>
                <c:pt idx="18">
                  <c:v>132961.56438061449</c:v>
                </c:pt>
                <c:pt idx="19">
                  <c:v>132961.56438061449</c:v>
                </c:pt>
                <c:pt idx="20">
                  <c:v>135187.1049874257</c:v>
                </c:pt>
                <c:pt idx="21">
                  <c:v>134000.88343287201</c:v>
                </c:pt>
                <c:pt idx="22" formatCode="0.0000">
                  <c:v>134739.03210102289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Sheet1!$E$1:$E$23</c:f>
              <c:numCache>
                <c:formatCode>0.000</c:formatCode>
                <c:ptCount val="23"/>
                <c:pt idx="0">
                  <c:v>132961.56438061449</c:v>
                </c:pt>
                <c:pt idx="1">
                  <c:v>2</c:v>
                </c:pt>
                <c:pt idx="2">
                  <c:v>131827.01979660042</c:v>
                </c:pt>
                <c:pt idx="3">
                  <c:v>132505.0126959327</c:v>
                </c:pt>
                <c:pt idx="4">
                  <c:v>132504.81867469623</c:v>
                </c:pt>
                <c:pt idx="5">
                  <c:v>-1829.635</c:v>
                </c:pt>
                <c:pt idx="6">
                  <c:v>-40147</c:v>
                </c:pt>
                <c:pt idx="7">
                  <c:v>992</c:v>
                </c:pt>
                <c:pt idx="8">
                  <c:v>1077</c:v>
                </c:pt>
                <c:pt idx="9">
                  <c:v>913</c:v>
                </c:pt>
                <c:pt idx="10">
                  <c:v>43</c:v>
                </c:pt>
                <c:pt idx="11">
                  <c:v>-39548</c:v>
                </c:pt>
                <c:pt idx="12">
                  <c:v>-39751</c:v>
                </c:pt>
                <c:pt idx="13">
                  <c:v>-39786</c:v>
                </c:pt>
                <c:pt idx="14">
                  <c:v>0</c:v>
                </c:pt>
                <c:pt idx="15">
                  <c:v>1.8</c:v>
                </c:pt>
                <c:pt idx="16">
                  <c:v>134129.0704232564</c:v>
                </c:pt>
                <c:pt idx="17">
                  <c:v>132232.78710660894</c:v>
                </c:pt>
                <c:pt idx="18">
                  <c:v>131288</c:v>
                </c:pt>
                <c:pt idx="19">
                  <c:v>131288</c:v>
                </c:pt>
                <c:pt idx="20">
                  <c:v>133333.47182348094</c:v>
                </c:pt>
                <c:pt idx="21">
                  <c:v>131156.02870614617</c:v>
                </c:pt>
                <c:pt idx="22" formatCode="0.0000">
                  <c:v>135415.39211089662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Sheet1!$F$1:$F$23</c:f>
              <c:numCache>
                <c:formatCode>0.000</c:formatCode>
                <c:ptCount val="23"/>
                <c:pt idx="0">
                  <c:v>132048.11267548261</c:v>
                </c:pt>
                <c:pt idx="1">
                  <c:v>0.45170513188350014</c:v>
                </c:pt>
                <c:pt idx="2">
                  <c:v>132504.83852804854</c:v>
                </c:pt>
                <c:pt idx="3">
                  <c:v>0.54844158543710364</c:v>
                </c:pt>
                <c:pt idx="4">
                  <c:v>0.15979894767346473</c:v>
                </c:pt>
                <c:pt idx="5">
                  <c:v>0.19402123648181002</c:v>
                </c:pt>
                <c:pt idx="6">
                  <c:v>0.54844158543710364</c:v>
                </c:pt>
                <c:pt idx="7">
                  <c:v>132961.72417956218</c:v>
                </c:pt>
                <c:pt idx="8">
                  <c:v>132961.53015832571</c:v>
                </c:pt>
                <c:pt idx="9">
                  <c:v>132048.30121230322</c:v>
                </c:pt>
                <c:pt idx="10">
                  <c:v>132048.10719106675</c:v>
                </c:pt>
                <c:pt idx="11">
                  <c:v>-1</c:v>
                </c:pt>
                <c:pt idx="12">
                  <c:v>134452.06977202714</c:v>
                </c:pt>
                <c:pt idx="13">
                  <c:v>134951.82717485438</c:v>
                </c:pt>
                <c:pt idx="14">
                  <c:v>0.81446714417987687</c:v>
                </c:pt>
                <c:pt idx="15">
                  <c:v>2.52</c:v>
                </c:pt>
                <c:pt idx="16">
                  <c:v>131978.60205296703</c:v>
                </c:pt>
                <c:pt idx="17">
                  <c:v>131977.82431288814</c:v>
                </c:pt>
                <c:pt idx="18">
                  <c:v>132366</c:v>
                </c:pt>
                <c:pt idx="19">
                  <c:v>132366</c:v>
                </c:pt>
                <c:pt idx="20">
                  <c:v>134260.28840545332</c:v>
                </c:pt>
                <c:pt idx="21">
                  <c:v>133388.42546668422</c:v>
                </c:pt>
                <c:pt idx="22" formatCode="0.0000">
                  <c:v>134331.07378118965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Sheet1!$G$1:$G$23</c:f>
              <c:numCache>
                <c:formatCode>0.0000</c:formatCode>
                <c:ptCount val="23"/>
                <c:pt idx="0" formatCode="0.00">
                  <c:v>132642.42026041666</c:v>
                </c:pt>
                <c:pt idx="1">
                  <c:v>132621.05565496706</c:v>
                </c:pt>
                <c:pt idx="2">
                  <c:v>132620.65700686097</c:v>
                </c:pt>
                <c:pt idx="4" formatCode="0.0">
                  <c:v>130770.91467558063</c:v>
                </c:pt>
                <c:pt idx="5" formatCode="0.0">
                  <c:v>132552.76299846574</c:v>
                </c:pt>
                <c:pt idx="6" formatCode="0">
                  <c:v>133061.60049020767</c:v>
                </c:pt>
                <c:pt idx="7" formatCode="0">
                  <c:v>132912.32023321185</c:v>
                </c:pt>
                <c:pt idx="8" formatCode="0">
                  <c:v>131894.74474240033</c:v>
                </c:pt>
                <c:pt idx="9" formatCode="0">
                  <c:v>132572.54935328092</c:v>
                </c:pt>
                <c:pt idx="10" formatCode="0">
                  <c:v>132572.54935328092</c:v>
                </c:pt>
                <c:pt idx="11" formatCode="0">
                  <c:v>1.0051389811793061</c:v>
                </c:pt>
                <c:pt idx="12" formatCode="0">
                  <c:v>132912.32023321185</c:v>
                </c:pt>
                <c:pt idx="13" formatCode="0.00000">
                  <c:v>63.190203756824353</c:v>
                </c:pt>
                <c:pt idx="14" formatCode="0.00000">
                  <c:v>2.1199772254128627E-2</c:v>
                </c:pt>
                <c:pt idx="15">
                  <c:v>132232.76984009266</c:v>
                </c:pt>
                <c:pt idx="16">
                  <c:v>134131.59042325639</c:v>
                </c:pt>
                <c:pt idx="17">
                  <c:v>132235.30710660893</c:v>
                </c:pt>
                <c:pt idx="18">
                  <c:v>132366</c:v>
                </c:pt>
                <c:pt idx="19">
                  <c:v>132232.77847334996</c:v>
                </c:pt>
                <c:pt idx="20">
                  <c:v>132873.26250140363</c:v>
                </c:pt>
                <c:pt idx="21">
                  <c:v>130653.37166004504</c:v>
                </c:pt>
                <c:pt idx="22">
                  <c:v>135662.84315072137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Sheet1!$H$1:$H$23</c:f>
              <c:numCache>
                <c:formatCode>0.000</c:formatCode>
                <c:ptCount val="23"/>
                <c:pt idx="0" formatCode="0.00">
                  <c:v>132599.16800988311</c:v>
                </c:pt>
                <c:pt idx="1">
                  <c:v>0.25225053355097771</c:v>
                </c:pt>
                <c:pt idx="2" formatCode="0.0000">
                  <c:v>132620.79413514989</c:v>
                </c:pt>
                <c:pt idx="3">
                  <c:v>0.76175945503200637</c:v>
                </c:pt>
                <c:pt idx="4" formatCode="0.0000000">
                  <c:v>0.13200912281799615</c:v>
                </c:pt>
                <c:pt idx="5" formatCode="0.0000">
                  <c:v>0.39864810607731688</c:v>
                </c:pt>
                <c:pt idx="6" formatCode="0.0000">
                  <c:v>0.76175945503200637</c:v>
                </c:pt>
                <c:pt idx="7" formatCode="0.00">
                  <c:v>132642.55226953948</c:v>
                </c:pt>
                <c:pt idx="8" formatCode="0.00">
                  <c:v>132642.15362143339</c:v>
                </c:pt>
                <c:pt idx="9" formatCode="0.00">
                  <c:v>132599.55904039464</c:v>
                </c:pt>
                <c:pt idx="10" formatCode="0.00">
                  <c:v>132599.16039228856</c:v>
                </c:pt>
                <c:pt idx="12" formatCode="0">
                  <c:v>45</c:v>
                </c:pt>
                <c:pt idx="13" formatCode="0.000000">
                  <c:v>45</c:v>
                </c:pt>
                <c:pt idx="14" formatCode="0.000000">
                  <c:v>132232.82163964826</c:v>
                </c:pt>
                <c:pt idx="15" formatCode="0.0000">
                  <c:v>132232.79573986793</c:v>
                </c:pt>
                <c:pt idx="16" formatCode="0.0000">
                  <c:v>132232.77847334996</c:v>
                </c:pt>
                <c:pt idx="17" formatCode="0.0000">
                  <c:v>132232.80437312691</c:v>
                </c:pt>
                <c:pt idx="18" formatCode="0.0000">
                  <c:v>132048.11267548261</c:v>
                </c:pt>
                <c:pt idx="19" formatCode="0.0000">
                  <c:v>132912.32023321185</c:v>
                </c:pt>
                <c:pt idx="20" formatCode="0.0000">
                  <c:v>133564.37345682291</c:v>
                </c:pt>
                <c:pt idx="21" formatCode="0.0000">
                  <c:v>133233.53889305025</c:v>
                </c:pt>
                <c:pt idx="22" formatCode="0.0000">
                  <c:v>135983.004484251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7777664"/>
        <c:axId val="153398656"/>
      </c:barChart>
      <c:catAx>
        <c:axId val="13777766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3398656"/>
        <c:crosses val="autoZero"/>
        <c:auto val="1"/>
        <c:lblAlgn val="ctr"/>
        <c:lblOffset val="100"/>
        <c:noMultiLvlLbl val="0"/>
      </c:catAx>
      <c:valAx>
        <c:axId val="15339865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37777664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Sheet1!$A$1:$A$24</c:f>
              <c:numCache>
                <c:formatCode>0.000</c:formatCode>
                <c:ptCount val="24"/>
                <c:pt idx="0">
                  <c:v>134744.45802689408</c:v>
                </c:pt>
                <c:pt idx="1">
                  <c:v>134771.58765624999</c:v>
                </c:pt>
                <c:pt idx="2">
                  <c:v>135341.51863357332</c:v>
                </c:pt>
                <c:pt idx="3">
                  <c:v>135599.39648705861</c:v>
                </c:pt>
                <c:pt idx="4">
                  <c:v>132232.78710660894</c:v>
                </c:pt>
                <c:pt idx="5">
                  <c:v>3.0463153638250101E-5</c:v>
                </c:pt>
                <c:pt idx="6">
                  <c:v>134129.0704232564</c:v>
                </c:pt>
                <c:pt idx="7">
                  <c:v>132232.78708529388</c:v>
                </c:pt>
                <c:pt idx="8">
                  <c:v>134739.03210102289</c:v>
                </c:pt>
                <c:pt idx="9">
                  <c:v>135415.39211089662</c:v>
                </c:pt>
                <c:pt idx="10">
                  <c:v>9.1480941856606909E-6</c:v>
                </c:pt>
                <c:pt idx="11">
                  <c:v>-1829.6352517278715</c:v>
                </c:pt>
                <c:pt idx="12">
                  <c:v>134755.30987863644</c:v>
                </c:pt>
                <c:pt idx="13">
                  <c:v>3</c:v>
                </c:pt>
                <c:pt idx="14">
                  <c:v>132232.78707614579</c:v>
                </c:pt>
                <c:pt idx="15">
                  <c:v>131287.5626611925</c:v>
                </c:pt>
                <c:pt idx="16">
                  <c:v>131288.04859320083</c:v>
                </c:pt>
                <c:pt idx="17">
                  <c:v>131978.34280576484</c:v>
                </c:pt>
                <c:pt idx="18">
                  <c:v>132599.16800988311</c:v>
                </c:pt>
                <c:pt idx="19">
                  <c:v>132599.16800988311</c:v>
                </c:pt>
                <c:pt idx="20">
                  <c:v>132366</c:v>
                </c:pt>
                <c:pt idx="21">
                  <c:v>132366</c:v>
                </c:pt>
                <c:pt idx="22" formatCode="0.0000">
                  <c:v>132366</c:v>
                </c:pt>
                <c:pt idx="23" formatCode="0.0000">
                  <c:v>131288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Sheet1!$B$1:$B$24</c:f>
              <c:numCache>
                <c:formatCode>0.000</c:formatCode>
                <c:ptCount val="24"/>
                <c:pt idx="0">
                  <c:v>135390.76761845552</c:v>
                </c:pt>
                <c:pt idx="1">
                  <c:v>135042.9883302337</c:v>
                </c:pt>
                <c:pt idx="2">
                  <c:v>135992.02973182368</c:v>
                </c:pt>
                <c:pt idx="3">
                  <c:v>133585.75685916876</c:v>
                </c:pt>
                <c:pt idx="4">
                  <c:v>5.7569891097955406E-2</c:v>
                </c:pt>
                <c:pt idx="5">
                  <c:v>132232.6090235094</c:v>
                </c:pt>
                <c:pt idx="6">
                  <c:v>132233.03709114916</c:v>
                </c:pt>
                <c:pt idx="7">
                  <c:v>132232.80866485339</c:v>
                </c:pt>
                <c:pt idx="8">
                  <c:v>105625.9735104245</c:v>
                </c:pt>
                <c:pt idx="9">
                  <c:v>165541.85407800705</c:v>
                </c:pt>
                <c:pt idx="10">
                  <c:v>2.8784945548977703E-2</c:v>
                </c:pt>
                <c:pt idx="11">
                  <c:v>94999.363920890333</c:v>
                </c:pt>
                <c:pt idx="12">
                  <c:v>148887.31335353994</c:v>
                </c:pt>
                <c:pt idx="13">
                  <c:v>0.24281876543696743</c:v>
                </c:pt>
                <c:pt idx="15">
                  <c:v>132047.91865424614</c:v>
                </c:pt>
                <c:pt idx="16">
                  <c:v>132048.07845319383</c:v>
                </c:pt>
                <c:pt idx="17">
                  <c:v>131978.08355907188</c:v>
                </c:pt>
                <c:pt idx="18">
                  <c:v>132642.42026041666</c:v>
                </c:pt>
                <c:pt idx="19">
                  <c:v>132642.42026041666</c:v>
                </c:pt>
                <c:pt idx="20">
                  <c:v>134772.23126707651</c:v>
                </c:pt>
                <c:pt idx="21">
                  <c:v>133180.93308156217</c:v>
                </c:pt>
                <c:pt idx="22" formatCode="0.0000">
                  <c:v>132048.11267548261</c:v>
                </c:pt>
                <c:pt idx="23" formatCode="0.0000">
                  <c:v>132366</c:v>
                </c:pt>
              </c:numCache>
            </c:numRef>
          </c:val>
        </c:ser>
        <c:ser>
          <c:idx val="2"/>
          <c:order val="2"/>
          <c:invertIfNegative val="0"/>
          <c:val>
            <c:numRef>
              <c:f>Sheet1!$C$1:$C$24</c:f>
              <c:numCache>
                <c:formatCode>0.000</c:formatCode>
                <c:ptCount val="24"/>
                <c:pt idx="0">
                  <c:v>132366</c:v>
                </c:pt>
                <c:pt idx="1">
                  <c:v>1.3047189019683476</c:v>
                </c:pt>
                <c:pt idx="2">
                  <c:v>131827.45713540792</c:v>
                </c:pt>
                <c:pt idx="3">
                  <c:v>132232.83744979894</c:v>
                </c:pt>
                <c:pt idx="4">
                  <c:v>132232.80866485339</c:v>
                </c:pt>
                <c:pt idx="5">
                  <c:v>-0.98560752722551115</c:v>
                </c:pt>
                <c:pt idx="6">
                  <c:v>0</c:v>
                </c:pt>
                <c:pt idx="7">
                  <c:v>-0.3733958243638939</c:v>
                </c:pt>
                <c:pt idx="8">
                  <c:v>0.8680217351276287</c:v>
                </c:pt>
                <c:pt idx="9">
                  <c:v>132232.85184227483</c:v>
                </c:pt>
                <c:pt idx="10">
                  <c:v>132232.79427238373</c:v>
                </c:pt>
                <c:pt idx="11">
                  <c:v>1.5</c:v>
                </c:pt>
                <c:pt idx="12">
                  <c:v>1</c:v>
                </c:pt>
                <c:pt idx="13">
                  <c:v>0.45685258532495715</c:v>
                </c:pt>
                <c:pt idx="14">
                  <c:v>-0.8680217351276287</c:v>
                </c:pt>
                <c:pt idx="15">
                  <c:v>132598.76936177703</c:v>
                </c:pt>
                <c:pt idx="16">
                  <c:v>132598.90137089984</c:v>
                </c:pt>
                <c:pt idx="18">
                  <c:v>132048.11267548261</c:v>
                </c:pt>
                <c:pt idx="19">
                  <c:v>132048.11267548261</c:v>
                </c:pt>
                <c:pt idx="20">
                  <c:v>133947.56104443868</c:v>
                </c:pt>
                <c:pt idx="21">
                  <c:v>131961.02674377573</c:v>
                </c:pt>
                <c:pt idx="22" formatCode="0.0000">
                  <c:v>134162.39448009583</c:v>
                </c:pt>
                <c:pt idx="23" formatCode="0.0000">
                  <c:v>135415.39211089662</c:v>
                </c:pt>
              </c:numCache>
            </c:numRef>
          </c:val>
        </c:ser>
        <c:ser>
          <c:idx val="3"/>
          <c:order val="3"/>
          <c:invertIfNegative val="0"/>
          <c:val>
            <c:numRef>
              <c:f>Sheet1!$D$1:$D$24</c:f>
              <c:numCache>
                <c:formatCode>0.000</c:formatCode>
                <c:ptCount val="24"/>
                <c:pt idx="0">
                  <c:v>131288</c:v>
                </c:pt>
                <c:pt idx="1">
                  <c:v>1</c:v>
                </c:pt>
                <c:pt idx="2">
                  <c:v>131827</c:v>
                </c:pt>
                <c:pt idx="3">
                  <c:v>0.90000000000145519</c:v>
                </c:pt>
                <c:pt idx="4">
                  <c:v>0.48593200833406092</c:v>
                </c:pt>
                <c:pt idx="5">
                  <c:v>0.43733880750136195</c:v>
                </c:pt>
                <c:pt idx="6">
                  <c:v>0.90000000000145519</c:v>
                </c:pt>
                <c:pt idx="7">
                  <c:v>132366.48593200833</c:v>
                </c:pt>
                <c:pt idx="8">
                  <c:v>132366.04859320083</c:v>
                </c:pt>
                <c:pt idx="9">
                  <c:v>131288.42833880751</c:v>
                </c:pt>
                <c:pt idx="10">
                  <c:v>131287.99100000001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0.3061058514308086</c:v>
                </c:pt>
                <c:pt idx="15">
                  <c:v>0.259246692963643</c:v>
                </c:pt>
                <c:pt idx="17">
                  <c:v>131978.21318292757</c:v>
                </c:pt>
                <c:pt idx="18">
                  <c:v>132961.56438061449</c:v>
                </c:pt>
                <c:pt idx="19">
                  <c:v>132961.56438061449</c:v>
                </c:pt>
                <c:pt idx="20">
                  <c:v>135187.1049874257</c:v>
                </c:pt>
                <c:pt idx="21">
                  <c:v>134000.88343287201</c:v>
                </c:pt>
                <c:pt idx="22" formatCode="0.0000">
                  <c:v>134739.03210102289</c:v>
                </c:pt>
                <c:pt idx="23" formatCode="0.0000">
                  <c:v>135341.51863357332</c:v>
                </c:pt>
              </c:numCache>
            </c:numRef>
          </c:val>
        </c:ser>
        <c:ser>
          <c:idx val="4"/>
          <c:order val="4"/>
          <c:invertIfNegative val="0"/>
          <c:val>
            <c:numRef>
              <c:f>Sheet1!$E$1:$E$24</c:f>
              <c:numCache>
                <c:formatCode>0.000</c:formatCode>
                <c:ptCount val="24"/>
                <c:pt idx="0">
                  <c:v>132961.56438061449</c:v>
                </c:pt>
                <c:pt idx="1">
                  <c:v>2</c:v>
                </c:pt>
                <c:pt idx="2">
                  <c:v>131827.01979660042</c:v>
                </c:pt>
                <c:pt idx="3">
                  <c:v>132505.0126959327</c:v>
                </c:pt>
                <c:pt idx="4">
                  <c:v>132504.81867469623</c:v>
                </c:pt>
                <c:pt idx="5">
                  <c:v>-1829.635</c:v>
                </c:pt>
                <c:pt idx="6">
                  <c:v>-40147</c:v>
                </c:pt>
                <c:pt idx="7">
                  <c:v>992</c:v>
                </c:pt>
                <c:pt idx="8">
                  <c:v>1077</c:v>
                </c:pt>
                <c:pt idx="9">
                  <c:v>913</c:v>
                </c:pt>
                <c:pt idx="10">
                  <c:v>43</c:v>
                </c:pt>
                <c:pt idx="11">
                  <c:v>-39548</c:v>
                </c:pt>
                <c:pt idx="12">
                  <c:v>-39751</c:v>
                </c:pt>
                <c:pt idx="13">
                  <c:v>-39786</c:v>
                </c:pt>
                <c:pt idx="14">
                  <c:v>0</c:v>
                </c:pt>
                <c:pt idx="15">
                  <c:v>1.8</c:v>
                </c:pt>
                <c:pt idx="16">
                  <c:v>134129.0704232564</c:v>
                </c:pt>
                <c:pt idx="17">
                  <c:v>132232.78710660894</c:v>
                </c:pt>
                <c:pt idx="18">
                  <c:v>131288</c:v>
                </c:pt>
                <c:pt idx="19">
                  <c:v>131288</c:v>
                </c:pt>
                <c:pt idx="20">
                  <c:v>133333.47182348094</c:v>
                </c:pt>
                <c:pt idx="21">
                  <c:v>131156.02870614617</c:v>
                </c:pt>
                <c:pt idx="22" formatCode="0.0000">
                  <c:v>135415.39211089662</c:v>
                </c:pt>
                <c:pt idx="23" formatCode="0.0000">
                  <c:v>133585.75685916876</c:v>
                </c:pt>
              </c:numCache>
            </c:numRef>
          </c:val>
        </c:ser>
        <c:ser>
          <c:idx val="5"/>
          <c:order val="5"/>
          <c:invertIfNegative val="0"/>
          <c:val>
            <c:numRef>
              <c:f>Sheet1!$F$1:$F$24</c:f>
              <c:numCache>
                <c:formatCode>0.000</c:formatCode>
                <c:ptCount val="24"/>
                <c:pt idx="0">
                  <c:v>132048.11267548261</c:v>
                </c:pt>
                <c:pt idx="1">
                  <c:v>0.45170513188350014</c:v>
                </c:pt>
                <c:pt idx="2">
                  <c:v>132504.83852804854</c:v>
                </c:pt>
                <c:pt idx="3">
                  <c:v>0.54844158543710364</c:v>
                </c:pt>
                <c:pt idx="4">
                  <c:v>0.15979894767346473</c:v>
                </c:pt>
                <c:pt idx="5">
                  <c:v>0.19402123648181002</c:v>
                </c:pt>
                <c:pt idx="6">
                  <c:v>0.54844158543710364</c:v>
                </c:pt>
                <c:pt idx="7">
                  <c:v>132961.72417956218</c:v>
                </c:pt>
                <c:pt idx="8">
                  <c:v>132961.53015832571</c:v>
                </c:pt>
                <c:pt idx="9">
                  <c:v>132048.30121230322</c:v>
                </c:pt>
                <c:pt idx="10">
                  <c:v>132048.10719106675</c:v>
                </c:pt>
                <c:pt idx="11">
                  <c:v>-1</c:v>
                </c:pt>
                <c:pt idx="12">
                  <c:v>134452.06977202714</c:v>
                </c:pt>
                <c:pt idx="13">
                  <c:v>134951.82717485438</c:v>
                </c:pt>
                <c:pt idx="14">
                  <c:v>0.81446714417987687</c:v>
                </c:pt>
                <c:pt idx="15">
                  <c:v>2.52</c:v>
                </c:pt>
                <c:pt idx="16">
                  <c:v>131978.60205296703</c:v>
                </c:pt>
                <c:pt idx="17">
                  <c:v>131977.82431288814</c:v>
                </c:pt>
                <c:pt idx="18">
                  <c:v>132366</c:v>
                </c:pt>
                <c:pt idx="19">
                  <c:v>132366</c:v>
                </c:pt>
                <c:pt idx="20">
                  <c:v>134260.28840545332</c:v>
                </c:pt>
                <c:pt idx="21">
                  <c:v>133388.42546668422</c:v>
                </c:pt>
                <c:pt idx="22" formatCode="0.0000">
                  <c:v>134331.07378118965</c:v>
                </c:pt>
                <c:pt idx="23" formatCode="0.0000">
                  <c:v>131288</c:v>
                </c:pt>
              </c:numCache>
            </c:numRef>
          </c:val>
        </c:ser>
        <c:ser>
          <c:idx val="6"/>
          <c:order val="6"/>
          <c:invertIfNegative val="0"/>
          <c:val>
            <c:numRef>
              <c:f>Sheet1!$G$1:$G$24</c:f>
              <c:numCache>
                <c:formatCode>0.0000</c:formatCode>
                <c:ptCount val="24"/>
                <c:pt idx="0" formatCode="0.00">
                  <c:v>132642.42026041666</c:v>
                </c:pt>
                <c:pt idx="1">
                  <c:v>132621.05565496706</c:v>
                </c:pt>
                <c:pt idx="2">
                  <c:v>132620.65700686097</c:v>
                </c:pt>
                <c:pt idx="4" formatCode="0.0">
                  <c:v>130770.91467558063</c:v>
                </c:pt>
                <c:pt idx="5" formatCode="0.0">
                  <c:v>132552.76299846574</c:v>
                </c:pt>
                <c:pt idx="6" formatCode="0">
                  <c:v>133061.60049020767</c:v>
                </c:pt>
                <c:pt idx="7" formatCode="0">
                  <c:v>132912.32023321185</c:v>
                </c:pt>
                <c:pt idx="8" formatCode="0">
                  <c:v>131894.74474240033</c:v>
                </c:pt>
                <c:pt idx="9" formatCode="0">
                  <c:v>132572.54935328092</c:v>
                </c:pt>
                <c:pt idx="10" formatCode="0">
                  <c:v>132572.54935328092</c:v>
                </c:pt>
                <c:pt idx="11" formatCode="0">
                  <c:v>1.0051389811793061</c:v>
                </c:pt>
                <c:pt idx="12" formatCode="0">
                  <c:v>132912.32023321185</c:v>
                </c:pt>
                <c:pt idx="13" formatCode="0.00000">
                  <c:v>63.190203756824353</c:v>
                </c:pt>
                <c:pt idx="14" formatCode="0.00000">
                  <c:v>2.1199772254128627E-2</c:v>
                </c:pt>
                <c:pt idx="15">
                  <c:v>132232.76984009266</c:v>
                </c:pt>
                <c:pt idx="16">
                  <c:v>134131.59042325639</c:v>
                </c:pt>
                <c:pt idx="17">
                  <c:v>132235.30710660893</c:v>
                </c:pt>
                <c:pt idx="18">
                  <c:v>132366</c:v>
                </c:pt>
                <c:pt idx="19">
                  <c:v>132232.77847334996</c:v>
                </c:pt>
                <c:pt idx="20">
                  <c:v>132873.26250140363</c:v>
                </c:pt>
                <c:pt idx="21">
                  <c:v>130653.37166004504</c:v>
                </c:pt>
                <c:pt idx="22">
                  <c:v>135662.84315072137</c:v>
                </c:pt>
                <c:pt idx="23">
                  <c:v>132366</c:v>
                </c:pt>
              </c:numCache>
            </c:numRef>
          </c:val>
        </c:ser>
        <c:ser>
          <c:idx val="7"/>
          <c:order val="7"/>
          <c:invertIfNegative val="0"/>
          <c:val>
            <c:numRef>
              <c:f>Sheet1!$H$1:$H$24</c:f>
              <c:numCache>
                <c:formatCode>0.000</c:formatCode>
                <c:ptCount val="24"/>
                <c:pt idx="0" formatCode="0.00">
                  <c:v>132599.16800988311</c:v>
                </c:pt>
                <c:pt idx="1">
                  <c:v>0.25225053355097771</c:v>
                </c:pt>
                <c:pt idx="2" formatCode="0.0000">
                  <c:v>132620.79413514989</c:v>
                </c:pt>
                <c:pt idx="3">
                  <c:v>0.76175945503200637</c:v>
                </c:pt>
                <c:pt idx="4" formatCode="0.0000000">
                  <c:v>0.13200912281799615</c:v>
                </c:pt>
                <c:pt idx="5" formatCode="0.0000">
                  <c:v>0.39864810607731688</c:v>
                </c:pt>
                <c:pt idx="6" formatCode="0.0000">
                  <c:v>0.76175945503200637</c:v>
                </c:pt>
                <c:pt idx="7" formatCode="0.00">
                  <c:v>132642.55226953948</c:v>
                </c:pt>
                <c:pt idx="8" formatCode="0.00">
                  <c:v>132642.15362143339</c:v>
                </c:pt>
                <c:pt idx="9" formatCode="0.00">
                  <c:v>132599.55904039464</c:v>
                </c:pt>
                <c:pt idx="10" formatCode="0.00">
                  <c:v>132599.16039228856</c:v>
                </c:pt>
                <c:pt idx="12" formatCode="0">
                  <c:v>45</c:v>
                </c:pt>
                <c:pt idx="13" formatCode="0.000000">
                  <c:v>45</c:v>
                </c:pt>
                <c:pt idx="14" formatCode="0.000000">
                  <c:v>132232.82163964826</c:v>
                </c:pt>
                <c:pt idx="15" formatCode="0.0000">
                  <c:v>132232.79573986793</c:v>
                </c:pt>
                <c:pt idx="16" formatCode="0.0000">
                  <c:v>132232.77847334996</c:v>
                </c:pt>
                <c:pt idx="17" formatCode="0.0000">
                  <c:v>132232.80437312691</c:v>
                </c:pt>
                <c:pt idx="18" formatCode="0.0000">
                  <c:v>132048.11267548261</c:v>
                </c:pt>
                <c:pt idx="19" formatCode="0.0000">
                  <c:v>132912.32023321185</c:v>
                </c:pt>
                <c:pt idx="20" formatCode="0.0000">
                  <c:v>133564.37345682291</c:v>
                </c:pt>
                <c:pt idx="21" formatCode="0.0000">
                  <c:v>133233.53889305025</c:v>
                </c:pt>
                <c:pt idx="22" formatCode="0.0000">
                  <c:v>135983.004484251</c:v>
                </c:pt>
                <c:pt idx="23" formatCode="0.0000">
                  <c:v>135415.39211089662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553600"/>
        <c:axId val="154148864"/>
      </c:barChart>
      <c:catAx>
        <c:axId val="1825536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4148864"/>
        <c:crosses val="autoZero"/>
        <c:auto val="1"/>
        <c:lblAlgn val="ctr"/>
        <c:lblOffset val="100"/>
        <c:noMultiLvlLbl val="0"/>
      </c:catAx>
      <c:valAx>
        <c:axId val="15414886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82553600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132366.48593200833</c:v>
                </c:pt>
                <c:pt idx="1">
                  <c:v>132366.04859320083</c:v>
                </c:pt>
                <c:pt idx="2">
                  <c:v>131288.42833880751</c:v>
                </c:pt>
                <c:pt idx="3">
                  <c:v>131287.99100000001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397504"/>
        <c:axId val="153399808"/>
      </c:scatterChart>
      <c:valAx>
        <c:axId val="15339750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3399808"/>
        <c:crosses val="autoZero"/>
        <c:crossBetween val="midCat"/>
      </c:valAx>
      <c:valAx>
        <c:axId val="15339980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339750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0.000</c:formatCode>
                <c:ptCount val="4"/>
                <c:pt idx="0">
                  <c:v>132961.72417956218</c:v>
                </c:pt>
                <c:pt idx="1">
                  <c:v>132961.53015832571</c:v>
                </c:pt>
                <c:pt idx="2">
                  <c:v>132048.30121230322</c:v>
                </c:pt>
                <c:pt idx="3">
                  <c:v>132048.10719106675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158784"/>
        <c:axId val="154540800"/>
      </c:scatterChart>
      <c:valAx>
        <c:axId val="15415878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4540800"/>
        <c:crosses val="autoZero"/>
        <c:crossBetween val="midCat"/>
      </c:valAx>
      <c:valAx>
        <c:axId val="15454080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5415878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132642.55226953948</c:v>
                </c:pt>
                <c:pt idx="1">
                  <c:v>132642.15362143339</c:v>
                </c:pt>
                <c:pt idx="2">
                  <c:v>132599.55904039464</c:v>
                </c:pt>
                <c:pt idx="3">
                  <c:v>132599.16039228856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570496"/>
        <c:axId val="63571072"/>
      </c:scatterChart>
      <c:valAx>
        <c:axId val="6357049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63571072"/>
        <c:crosses val="autoZero"/>
        <c:crossBetween val="midCat"/>
      </c:valAx>
      <c:valAx>
        <c:axId val="6357107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63570496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</c:formatCode>
                <c:ptCount val="8"/>
                <c:pt idx="0">
                  <c:v>132599.16800988311</c:v>
                </c:pt>
                <c:pt idx="1">
                  <c:v>132642.42026041666</c:v>
                </c:pt>
                <c:pt idx="2">
                  <c:v>132048.11267548261</c:v>
                </c:pt>
                <c:pt idx="3">
                  <c:v>132961.56438061449</c:v>
                </c:pt>
                <c:pt idx="4">
                  <c:v>131288</c:v>
                </c:pt>
                <c:pt idx="5">
                  <c:v>132366</c:v>
                </c:pt>
                <c:pt idx="6" formatCode="0.0000">
                  <c:v>132366</c:v>
                </c:pt>
                <c:pt idx="7" formatCode="0.0000">
                  <c:v>132048.11267548261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</c:formatCode>
                <c:ptCount val="8"/>
                <c:pt idx="0">
                  <c:v>132599.16800988311</c:v>
                </c:pt>
                <c:pt idx="1">
                  <c:v>132642.42026041666</c:v>
                </c:pt>
                <c:pt idx="2">
                  <c:v>132048.11267548261</c:v>
                </c:pt>
                <c:pt idx="3">
                  <c:v>132961.56438061449</c:v>
                </c:pt>
                <c:pt idx="4">
                  <c:v>131288</c:v>
                </c:pt>
                <c:pt idx="5">
                  <c:v>132366</c:v>
                </c:pt>
                <c:pt idx="6" formatCode="0.0000">
                  <c:v>132232.77847334996</c:v>
                </c:pt>
                <c:pt idx="7" formatCode="0.0000">
                  <c:v>132912.32023321185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</c:formatCode>
                <c:ptCount val="8"/>
                <c:pt idx="0">
                  <c:v>132366</c:v>
                </c:pt>
                <c:pt idx="1">
                  <c:v>134772.23126707651</c:v>
                </c:pt>
                <c:pt idx="2">
                  <c:v>133947.56104443868</c:v>
                </c:pt>
                <c:pt idx="3">
                  <c:v>135187.1049874257</c:v>
                </c:pt>
                <c:pt idx="4">
                  <c:v>133333.47182348094</c:v>
                </c:pt>
                <c:pt idx="5">
                  <c:v>134260.28840545332</c:v>
                </c:pt>
                <c:pt idx="6" formatCode="0.0000">
                  <c:v>132873.26250140363</c:v>
                </c:pt>
                <c:pt idx="7" formatCode="0.0000">
                  <c:v>133564.37345682291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572800"/>
        <c:axId val="63573376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</c:formatCode>
                <c:ptCount val="8"/>
                <c:pt idx="0">
                  <c:v>132366</c:v>
                </c:pt>
                <c:pt idx="1">
                  <c:v>133180.93308156217</c:v>
                </c:pt>
                <c:pt idx="2">
                  <c:v>131961.02674377573</c:v>
                </c:pt>
                <c:pt idx="3">
                  <c:v>134000.88343287201</c:v>
                </c:pt>
                <c:pt idx="4">
                  <c:v>131156.02870614617</c:v>
                </c:pt>
                <c:pt idx="5">
                  <c:v>133388.42546668422</c:v>
                </c:pt>
                <c:pt idx="6" formatCode="0.0000">
                  <c:v>130653.37166004504</c:v>
                </c:pt>
                <c:pt idx="7" formatCode="0.0000">
                  <c:v>133233.53889305025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132366</c:v>
                </c:pt>
                <c:pt idx="1">
                  <c:v>132048.11267548261</c:v>
                </c:pt>
                <c:pt idx="2">
                  <c:v>134162.39448009583</c:v>
                </c:pt>
                <c:pt idx="3">
                  <c:v>134739.03210102289</c:v>
                </c:pt>
                <c:pt idx="4">
                  <c:v>135415.39211089662</c:v>
                </c:pt>
                <c:pt idx="5">
                  <c:v>134331.07378118965</c:v>
                </c:pt>
                <c:pt idx="6">
                  <c:v>135662.84315072137</c:v>
                </c:pt>
                <c:pt idx="7">
                  <c:v>135983.004484251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131288</c:v>
                </c:pt>
                <c:pt idx="1">
                  <c:v>132366</c:v>
                </c:pt>
                <c:pt idx="2">
                  <c:v>135415.39211089662</c:v>
                </c:pt>
                <c:pt idx="3">
                  <c:v>135341.51863357332</c:v>
                </c:pt>
                <c:pt idx="4">
                  <c:v>133585.75685916876</c:v>
                </c:pt>
                <c:pt idx="5">
                  <c:v>131288</c:v>
                </c:pt>
                <c:pt idx="6">
                  <c:v>132366</c:v>
                </c:pt>
                <c:pt idx="7">
                  <c:v>135415.39211089662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574528"/>
        <c:axId val="63573952"/>
      </c:scatterChart>
      <c:valAx>
        <c:axId val="63572800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63573376"/>
        <c:crosses val="autoZero"/>
        <c:crossBetween val="midCat"/>
      </c:valAx>
      <c:valAx>
        <c:axId val="6357337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63572800"/>
        <c:crosses val="autoZero"/>
        <c:crossBetween val="midCat"/>
      </c:valAx>
      <c:valAx>
        <c:axId val="63573952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63574528"/>
        <c:crosses val="max"/>
        <c:crossBetween val="midCat"/>
      </c:valAx>
      <c:valAx>
        <c:axId val="63574528"/>
        <c:scaling>
          <c:orientation val="minMax"/>
        </c:scaling>
        <c:delete val="1"/>
        <c:axPos val="b"/>
        <c:majorTickMark val="out"/>
        <c:minorTickMark val="none"/>
        <c:tickLblPos val="nextTo"/>
        <c:crossAx val="63573952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98161407572644"/>
          <c:y val="4.2670246067102791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131288</c:v>
                </c:pt>
                <c:pt idx="1">
                  <c:v>132366</c:v>
                </c:pt>
                <c:pt idx="2" formatCode="0.00">
                  <c:v>135390.76761845552</c:v>
                </c:pt>
                <c:pt idx="3" formatCode="0.00">
                  <c:v>134744.45802689408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576832"/>
        <c:axId val="63577408"/>
      </c:scatterChart>
      <c:valAx>
        <c:axId val="635768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63577408"/>
        <c:crosses val="autoZero"/>
        <c:crossBetween val="midCat"/>
      </c:valAx>
      <c:valAx>
        <c:axId val="63577408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6357683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132366.48593200833</c:v>
                </c:pt>
                <c:pt idx="1">
                  <c:v>132366.04859320083</c:v>
                </c:pt>
                <c:pt idx="2">
                  <c:v>131288.42833880751</c:v>
                </c:pt>
                <c:pt idx="3">
                  <c:v>131287.99100000001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160896"/>
        <c:axId val="192161472"/>
      </c:scatterChart>
      <c:valAx>
        <c:axId val="19216089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92161472"/>
        <c:crosses val="autoZero"/>
        <c:crossBetween val="midCat"/>
      </c:valAx>
      <c:valAx>
        <c:axId val="19216147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92160896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0.000</c:formatCode>
                <c:ptCount val="4"/>
                <c:pt idx="0">
                  <c:v>132961.72417956218</c:v>
                </c:pt>
                <c:pt idx="1">
                  <c:v>132961.53015832571</c:v>
                </c:pt>
                <c:pt idx="2">
                  <c:v>132048.30121230322</c:v>
                </c:pt>
                <c:pt idx="3">
                  <c:v>132048.10719106675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163200"/>
        <c:axId val="192163776"/>
      </c:scatterChart>
      <c:valAx>
        <c:axId val="1921632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92163776"/>
        <c:crosses val="autoZero"/>
        <c:crossBetween val="midCat"/>
      </c:valAx>
      <c:valAx>
        <c:axId val="19216377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92163200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132642.55226953948</c:v>
                </c:pt>
                <c:pt idx="1">
                  <c:v>132642.15362143339</c:v>
                </c:pt>
                <c:pt idx="2">
                  <c:v>132599.55904039464</c:v>
                </c:pt>
                <c:pt idx="3">
                  <c:v>132599.16039228856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165504"/>
        <c:axId val="192166080"/>
      </c:scatterChart>
      <c:valAx>
        <c:axId val="19216550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92166080"/>
        <c:crosses val="autoZero"/>
        <c:crossBetween val="midCat"/>
      </c:valAx>
      <c:valAx>
        <c:axId val="19216608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9216550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</c:formatCode>
                <c:ptCount val="8"/>
                <c:pt idx="0">
                  <c:v>132599.16800988311</c:v>
                </c:pt>
                <c:pt idx="1">
                  <c:v>132642.42026041666</c:v>
                </c:pt>
                <c:pt idx="2">
                  <c:v>132048.11267548261</c:v>
                </c:pt>
                <c:pt idx="3">
                  <c:v>132961.56438061449</c:v>
                </c:pt>
                <c:pt idx="4">
                  <c:v>131288</c:v>
                </c:pt>
                <c:pt idx="5">
                  <c:v>132366</c:v>
                </c:pt>
                <c:pt idx="6" formatCode="0.0000">
                  <c:v>132366</c:v>
                </c:pt>
                <c:pt idx="7" formatCode="0.0000">
                  <c:v>132048.11267548261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</c:formatCode>
                <c:ptCount val="8"/>
                <c:pt idx="0">
                  <c:v>132599.16800988311</c:v>
                </c:pt>
                <c:pt idx="1">
                  <c:v>132642.42026041666</c:v>
                </c:pt>
                <c:pt idx="2">
                  <c:v>132048.11267548261</c:v>
                </c:pt>
                <c:pt idx="3">
                  <c:v>132961.56438061449</c:v>
                </c:pt>
                <c:pt idx="4">
                  <c:v>131288</c:v>
                </c:pt>
                <c:pt idx="5">
                  <c:v>132366</c:v>
                </c:pt>
                <c:pt idx="6" formatCode="0.0000">
                  <c:v>132232.77847334996</c:v>
                </c:pt>
                <c:pt idx="7" formatCode="0.0000">
                  <c:v>132912.32023321185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</c:formatCode>
                <c:ptCount val="8"/>
                <c:pt idx="0">
                  <c:v>132366</c:v>
                </c:pt>
                <c:pt idx="1">
                  <c:v>134772.23126707651</c:v>
                </c:pt>
                <c:pt idx="2">
                  <c:v>133947.56104443868</c:v>
                </c:pt>
                <c:pt idx="3">
                  <c:v>135187.1049874257</c:v>
                </c:pt>
                <c:pt idx="4">
                  <c:v>133333.47182348094</c:v>
                </c:pt>
                <c:pt idx="5">
                  <c:v>134260.28840545332</c:v>
                </c:pt>
                <c:pt idx="6" formatCode="0.0000">
                  <c:v>132873.26250140363</c:v>
                </c:pt>
                <c:pt idx="7" formatCode="0.0000">
                  <c:v>133564.37345682291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389696"/>
        <c:axId val="63390272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</c:formatCode>
                <c:ptCount val="8"/>
                <c:pt idx="0">
                  <c:v>132366</c:v>
                </c:pt>
                <c:pt idx="1">
                  <c:v>133180.93308156217</c:v>
                </c:pt>
                <c:pt idx="2">
                  <c:v>131961.02674377573</c:v>
                </c:pt>
                <c:pt idx="3">
                  <c:v>134000.88343287201</c:v>
                </c:pt>
                <c:pt idx="4">
                  <c:v>131156.02870614617</c:v>
                </c:pt>
                <c:pt idx="5">
                  <c:v>133388.42546668422</c:v>
                </c:pt>
                <c:pt idx="6" formatCode="0.0000">
                  <c:v>130653.37166004504</c:v>
                </c:pt>
                <c:pt idx="7" formatCode="0.0000">
                  <c:v>133233.53889305025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132366</c:v>
                </c:pt>
                <c:pt idx="1">
                  <c:v>132048.11267548261</c:v>
                </c:pt>
                <c:pt idx="2">
                  <c:v>134162.39448009583</c:v>
                </c:pt>
                <c:pt idx="3">
                  <c:v>134739.03210102289</c:v>
                </c:pt>
                <c:pt idx="4">
                  <c:v>135415.39211089662</c:v>
                </c:pt>
                <c:pt idx="5">
                  <c:v>134331.07378118965</c:v>
                </c:pt>
                <c:pt idx="6">
                  <c:v>135662.84315072137</c:v>
                </c:pt>
                <c:pt idx="7">
                  <c:v>135983.004484251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131288</c:v>
                </c:pt>
                <c:pt idx="1">
                  <c:v>132366</c:v>
                </c:pt>
                <c:pt idx="2">
                  <c:v>135415.39211089662</c:v>
                </c:pt>
                <c:pt idx="3">
                  <c:v>135341.51863357332</c:v>
                </c:pt>
                <c:pt idx="4">
                  <c:v>133585.75685916876</c:v>
                </c:pt>
                <c:pt idx="5">
                  <c:v>131288</c:v>
                </c:pt>
                <c:pt idx="6">
                  <c:v>132366</c:v>
                </c:pt>
                <c:pt idx="7">
                  <c:v>135415.39211089662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391424"/>
        <c:axId val="63390848"/>
      </c:scatterChart>
      <c:valAx>
        <c:axId val="63389696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63390272"/>
        <c:crosses val="autoZero"/>
        <c:crossBetween val="midCat"/>
      </c:valAx>
      <c:valAx>
        <c:axId val="6339027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63389696"/>
        <c:crosses val="autoZero"/>
        <c:crossBetween val="midCat"/>
      </c:valAx>
      <c:valAx>
        <c:axId val="63390848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63391424"/>
        <c:crosses val="max"/>
        <c:crossBetween val="midCat"/>
      </c:valAx>
      <c:valAx>
        <c:axId val="63391424"/>
        <c:scaling>
          <c:orientation val="minMax"/>
        </c:scaling>
        <c:delete val="1"/>
        <c:axPos val="b"/>
        <c:majorTickMark val="out"/>
        <c:minorTickMark val="none"/>
        <c:tickLblPos val="nextTo"/>
        <c:crossAx val="63390848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12785905011204"/>
          <c:y val="4.8721681841713972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131288</c:v>
                </c:pt>
                <c:pt idx="1">
                  <c:v>132366</c:v>
                </c:pt>
                <c:pt idx="2" formatCode="0.00">
                  <c:v>135390.76761845552</c:v>
                </c:pt>
                <c:pt idx="3" formatCode="0.00">
                  <c:v>134744.45802689408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393728"/>
        <c:axId val="63394304"/>
      </c:scatterChart>
      <c:valAx>
        <c:axId val="6339372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63394304"/>
        <c:crosses val="autoZero"/>
        <c:crossBetween val="midCat"/>
      </c:valAx>
      <c:valAx>
        <c:axId val="6339430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6339372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132366.48593200833</c:v>
                </c:pt>
                <c:pt idx="1">
                  <c:v>132366.04859320083</c:v>
                </c:pt>
                <c:pt idx="2">
                  <c:v>131288.42833880751</c:v>
                </c:pt>
                <c:pt idx="3">
                  <c:v>131287.99100000001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475712"/>
        <c:axId val="268533760"/>
      </c:scatterChart>
      <c:valAx>
        <c:axId val="26847571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533760"/>
        <c:crosses val="autoZero"/>
        <c:crossBetween val="midCat"/>
      </c:valAx>
      <c:valAx>
        <c:axId val="26853376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47571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0.000</c:formatCode>
                <c:ptCount val="4"/>
                <c:pt idx="0">
                  <c:v>132961.72417956218</c:v>
                </c:pt>
                <c:pt idx="1">
                  <c:v>132961.53015832571</c:v>
                </c:pt>
                <c:pt idx="2">
                  <c:v>132048.30121230322</c:v>
                </c:pt>
                <c:pt idx="3">
                  <c:v>132048.10719106675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536064"/>
        <c:axId val="268536640"/>
      </c:scatterChart>
      <c:valAx>
        <c:axId val="26853606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536640"/>
        <c:crosses val="autoZero"/>
        <c:crossBetween val="midCat"/>
      </c:valAx>
      <c:valAx>
        <c:axId val="26853664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53606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132642.55226953948</c:v>
                </c:pt>
                <c:pt idx="1">
                  <c:v>132642.15362143339</c:v>
                </c:pt>
                <c:pt idx="2">
                  <c:v>132599.55904039464</c:v>
                </c:pt>
                <c:pt idx="3">
                  <c:v>132599.16039228856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538944"/>
        <c:axId val="268539520"/>
      </c:scatterChart>
      <c:valAx>
        <c:axId val="26853894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539520"/>
        <c:crosses val="autoZero"/>
        <c:crossBetween val="midCat"/>
      </c:valAx>
      <c:valAx>
        <c:axId val="26853952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53894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</c:formatCode>
                <c:ptCount val="8"/>
                <c:pt idx="0">
                  <c:v>132599.16800988311</c:v>
                </c:pt>
                <c:pt idx="1">
                  <c:v>132642.42026041666</c:v>
                </c:pt>
                <c:pt idx="2">
                  <c:v>132048.11267548261</c:v>
                </c:pt>
                <c:pt idx="3">
                  <c:v>132961.56438061449</c:v>
                </c:pt>
                <c:pt idx="4">
                  <c:v>131288</c:v>
                </c:pt>
                <c:pt idx="5">
                  <c:v>132366</c:v>
                </c:pt>
                <c:pt idx="6" formatCode="0.0000">
                  <c:v>132366</c:v>
                </c:pt>
                <c:pt idx="7" formatCode="0.0000">
                  <c:v>132048.11267548261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</c:formatCode>
                <c:ptCount val="8"/>
                <c:pt idx="0">
                  <c:v>132599.16800988311</c:v>
                </c:pt>
                <c:pt idx="1">
                  <c:v>132642.42026041666</c:v>
                </c:pt>
                <c:pt idx="2">
                  <c:v>132048.11267548261</c:v>
                </c:pt>
                <c:pt idx="3">
                  <c:v>132961.56438061449</c:v>
                </c:pt>
                <c:pt idx="4">
                  <c:v>131288</c:v>
                </c:pt>
                <c:pt idx="5">
                  <c:v>132366</c:v>
                </c:pt>
                <c:pt idx="6" formatCode="0.0000">
                  <c:v>132232.77847334996</c:v>
                </c:pt>
                <c:pt idx="7" formatCode="0.0000">
                  <c:v>132912.32023321185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</c:formatCode>
                <c:ptCount val="8"/>
                <c:pt idx="0">
                  <c:v>132366</c:v>
                </c:pt>
                <c:pt idx="1">
                  <c:v>134772.23126707651</c:v>
                </c:pt>
                <c:pt idx="2">
                  <c:v>133947.56104443868</c:v>
                </c:pt>
                <c:pt idx="3">
                  <c:v>135187.1049874257</c:v>
                </c:pt>
                <c:pt idx="4">
                  <c:v>133333.47182348094</c:v>
                </c:pt>
                <c:pt idx="5">
                  <c:v>134260.28840545332</c:v>
                </c:pt>
                <c:pt idx="6" formatCode="0.0000">
                  <c:v>132873.26250140363</c:v>
                </c:pt>
                <c:pt idx="7" formatCode="0.0000">
                  <c:v>133564.37345682291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681216"/>
        <c:axId val="268681792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</c:formatCode>
                <c:ptCount val="8"/>
                <c:pt idx="0">
                  <c:v>132366</c:v>
                </c:pt>
                <c:pt idx="1">
                  <c:v>133180.93308156217</c:v>
                </c:pt>
                <c:pt idx="2">
                  <c:v>131961.02674377573</c:v>
                </c:pt>
                <c:pt idx="3">
                  <c:v>134000.88343287201</c:v>
                </c:pt>
                <c:pt idx="4">
                  <c:v>131156.02870614617</c:v>
                </c:pt>
                <c:pt idx="5">
                  <c:v>133388.42546668422</c:v>
                </c:pt>
                <c:pt idx="6" formatCode="0.0000">
                  <c:v>130653.37166004504</c:v>
                </c:pt>
                <c:pt idx="7" formatCode="0.0000">
                  <c:v>133233.53889305025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132366</c:v>
                </c:pt>
                <c:pt idx="1">
                  <c:v>132048.11267548261</c:v>
                </c:pt>
                <c:pt idx="2">
                  <c:v>134162.39448009583</c:v>
                </c:pt>
                <c:pt idx="3">
                  <c:v>134739.03210102289</c:v>
                </c:pt>
                <c:pt idx="4">
                  <c:v>135415.39211089662</c:v>
                </c:pt>
                <c:pt idx="5">
                  <c:v>134331.07378118965</c:v>
                </c:pt>
                <c:pt idx="6">
                  <c:v>135662.84315072137</c:v>
                </c:pt>
                <c:pt idx="7">
                  <c:v>135983.004484251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131288</c:v>
                </c:pt>
                <c:pt idx="1">
                  <c:v>132366</c:v>
                </c:pt>
                <c:pt idx="2">
                  <c:v>135415.39211089662</c:v>
                </c:pt>
                <c:pt idx="3">
                  <c:v>135341.51863357332</c:v>
                </c:pt>
                <c:pt idx="4">
                  <c:v>133585.75685916876</c:v>
                </c:pt>
                <c:pt idx="5">
                  <c:v>131288</c:v>
                </c:pt>
                <c:pt idx="6">
                  <c:v>132366</c:v>
                </c:pt>
                <c:pt idx="7">
                  <c:v>135415.39211089662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682944"/>
        <c:axId val="268682368"/>
      </c:scatterChart>
      <c:valAx>
        <c:axId val="268681216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681792"/>
        <c:crosses val="autoZero"/>
        <c:crossBetween val="midCat"/>
      </c:valAx>
      <c:valAx>
        <c:axId val="268681792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681216"/>
        <c:crosses val="autoZero"/>
        <c:crossBetween val="midCat"/>
      </c:valAx>
      <c:valAx>
        <c:axId val="268682368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682944"/>
        <c:crosses val="max"/>
        <c:crossBetween val="midCat"/>
      </c:valAx>
      <c:valAx>
        <c:axId val="268682944"/>
        <c:scaling>
          <c:orientation val="minMax"/>
        </c:scaling>
        <c:delete val="1"/>
        <c:axPos val="b"/>
        <c:majorTickMark val="out"/>
        <c:minorTickMark val="none"/>
        <c:tickLblPos val="nextTo"/>
        <c:crossAx val="268682368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98161407572644"/>
          <c:y val="4.2670246067102791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131288</c:v>
                </c:pt>
                <c:pt idx="1">
                  <c:v>132366</c:v>
                </c:pt>
                <c:pt idx="2" formatCode="0.00">
                  <c:v>135390.76761845552</c:v>
                </c:pt>
                <c:pt idx="3" formatCode="0.00">
                  <c:v>134744.45802689408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685824"/>
        <c:axId val="268686400"/>
      </c:scatterChart>
      <c:valAx>
        <c:axId val="26868582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686400"/>
        <c:crosses val="autoZero"/>
        <c:crossBetween val="midCat"/>
      </c:valAx>
      <c:valAx>
        <c:axId val="268686400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68582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Sheet1!$D$8:$D$11</c:f>
              <c:numCache>
                <c:formatCode>0.000</c:formatCode>
                <c:ptCount val="4"/>
                <c:pt idx="0">
                  <c:v>132366.48593200833</c:v>
                </c:pt>
                <c:pt idx="1">
                  <c:v>132366.04859320083</c:v>
                </c:pt>
                <c:pt idx="2">
                  <c:v>131288.42833880751</c:v>
                </c:pt>
                <c:pt idx="3">
                  <c:v>131287.99100000001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688704"/>
        <c:axId val="268804096"/>
      </c:scatterChart>
      <c:valAx>
        <c:axId val="26868870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804096"/>
        <c:crosses val="autoZero"/>
        <c:crossBetween val="midCat"/>
      </c:valAx>
      <c:valAx>
        <c:axId val="26880409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68870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Sheet1!$F$8:$F$11</c:f>
              <c:numCache>
                <c:formatCode>0.000</c:formatCode>
                <c:ptCount val="4"/>
                <c:pt idx="0">
                  <c:v>132961.72417956218</c:v>
                </c:pt>
                <c:pt idx="1">
                  <c:v>132961.53015832571</c:v>
                </c:pt>
                <c:pt idx="2">
                  <c:v>132048.30121230322</c:v>
                </c:pt>
                <c:pt idx="3">
                  <c:v>132048.10719106675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806400"/>
        <c:axId val="268806976"/>
      </c:scatterChart>
      <c:valAx>
        <c:axId val="2688064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806976"/>
        <c:crosses val="autoZero"/>
        <c:crossBetween val="midCat"/>
      </c:valAx>
      <c:valAx>
        <c:axId val="26880697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806400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Sheet1!$H$8:$H$11</c:f>
              <c:numCache>
                <c:formatCode>0.00</c:formatCode>
                <c:ptCount val="4"/>
                <c:pt idx="0">
                  <c:v>132642.55226953948</c:v>
                </c:pt>
                <c:pt idx="1">
                  <c:v>132642.15362143339</c:v>
                </c:pt>
                <c:pt idx="2">
                  <c:v>132599.55904039464</c:v>
                </c:pt>
                <c:pt idx="3">
                  <c:v>132599.16039228856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809280"/>
        <c:axId val="268809856"/>
      </c:scatterChart>
      <c:valAx>
        <c:axId val="26880928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809856"/>
        <c:crosses val="autoZero"/>
        <c:crossBetween val="midCat"/>
      </c:valAx>
      <c:valAx>
        <c:axId val="26880985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809280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Sheet1!$A$19:$H$19</c:f>
              <c:numCache>
                <c:formatCode>0.000</c:formatCode>
                <c:ptCount val="8"/>
                <c:pt idx="0">
                  <c:v>132599.16800988311</c:v>
                </c:pt>
                <c:pt idx="1">
                  <c:v>132642.42026041666</c:v>
                </c:pt>
                <c:pt idx="2">
                  <c:v>132048.11267548261</c:v>
                </c:pt>
                <c:pt idx="3">
                  <c:v>132961.56438061449</c:v>
                </c:pt>
                <c:pt idx="4">
                  <c:v>131288</c:v>
                </c:pt>
                <c:pt idx="5">
                  <c:v>132366</c:v>
                </c:pt>
                <c:pt idx="6" formatCode="0.0000">
                  <c:v>132366</c:v>
                </c:pt>
                <c:pt idx="7" formatCode="0.0000">
                  <c:v>132048.11267548261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Sheet1!$A$20:$H$20</c:f>
              <c:numCache>
                <c:formatCode>0.000</c:formatCode>
                <c:ptCount val="8"/>
                <c:pt idx="0">
                  <c:v>132599.16800988311</c:v>
                </c:pt>
                <c:pt idx="1">
                  <c:v>132642.42026041666</c:v>
                </c:pt>
                <c:pt idx="2">
                  <c:v>132048.11267548261</c:v>
                </c:pt>
                <c:pt idx="3">
                  <c:v>132961.56438061449</c:v>
                </c:pt>
                <c:pt idx="4">
                  <c:v>131288</c:v>
                </c:pt>
                <c:pt idx="5">
                  <c:v>132366</c:v>
                </c:pt>
                <c:pt idx="6" formatCode="0.0000">
                  <c:v>132232.77847334996</c:v>
                </c:pt>
                <c:pt idx="7" formatCode="0.0000">
                  <c:v>132912.32023321185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Sheet1!$A$21:$H$21</c:f>
              <c:numCache>
                <c:formatCode>0.000</c:formatCode>
                <c:ptCount val="8"/>
                <c:pt idx="0">
                  <c:v>132366</c:v>
                </c:pt>
                <c:pt idx="1">
                  <c:v>134772.23126707651</c:v>
                </c:pt>
                <c:pt idx="2">
                  <c:v>133947.56104443868</c:v>
                </c:pt>
                <c:pt idx="3">
                  <c:v>135187.1049874257</c:v>
                </c:pt>
                <c:pt idx="4">
                  <c:v>133333.47182348094</c:v>
                </c:pt>
                <c:pt idx="5">
                  <c:v>134260.28840545332</c:v>
                </c:pt>
                <c:pt idx="6" formatCode="0.0000">
                  <c:v>132873.26250140363</c:v>
                </c:pt>
                <c:pt idx="7" formatCode="0.0000">
                  <c:v>133564.37345682291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9148160"/>
        <c:axId val="269148736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Sheet1!$A$22:$H$22</c:f>
              <c:numCache>
                <c:formatCode>0.000</c:formatCode>
                <c:ptCount val="8"/>
                <c:pt idx="0">
                  <c:v>132366</c:v>
                </c:pt>
                <c:pt idx="1">
                  <c:v>133180.93308156217</c:v>
                </c:pt>
                <c:pt idx="2">
                  <c:v>131961.02674377573</c:v>
                </c:pt>
                <c:pt idx="3">
                  <c:v>134000.88343287201</c:v>
                </c:pt>
                <c:pt idx="4">
                  <c:v>131156.02870614617</c:v>
                </c:pt>
                <c:pt idx="5">
                  <c:v>133388.42546668422</c:v>
                </c:pt>
                <c:pt idx="6" formatCode="0.0000">
                  <c:v>130653.37166004504</c:v>
                </c:pt>
                <c:pt idx="7" formatCode="0.0000">
                  <c:v>133233.53889305025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Sheet1!$A$23:$H$23</c:f>
              <c:numCache>
                <c:formatCode>0.0000</c:formatCode>
                <c:ptCount val="8"/>
                <c:pt idx="0">
                  <c:v>132366</c:v>
                </c:pt>
                <c:pt idx="1">
                  <c:v>132048.11267548261</c:v>
                </c:pt>
                <c:pt idx="2">
                  <c:v>134162.39448009583</c:v>
                </c:pt>
                <c:pt idx="3">
                  <c:v>134739.03210102289</c:v>
                </c:pt>
                <c:pt idx="4">
                  <c:v>135415.39211089662</c:v>
                </c:pt>
                <c:pt idx="5">
                  <c:v>134331.07378118965</c:v>
                </c:pt>
                <c:pt idx="6">
                  <c:v>135662.84315072137</c:v>
                </c:pt>
                <c:pt idx="7">
                  <c:v>135983.004484251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Sheet1!$A$24:$H$24</c:f>
              <c:numCache>
                <c:formatCode>0.0000</c:formatCode>
                <c:ptCount val="8"/>
                <c:pt idx="0">
                  <c:v>131288</c:v>
                </c:pt>
                <c:pt idx="1">
                  <c:v>132366</c:v>
                </c:pt>
                <c:pt idx="2">
                  <c:v>135415.39211089662</c:v>
                </c:pt>
                <c:pt idx="3">
                  <c:v>135341.51863357332</c:v>
                </c:pt>
                <c:pt idx="4">
                  <c:v>133585.75685916876</c:v>
                </c:pt>
                <c:pt idx="5">
                  <c:v>131288</c:v>
                </c:pt>
                <c:pt idx="6">
                  <c:v>132366</c:v>
                </c:pt>
                <c:pt idx="7">
                  <c:v>135415.39211089662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9149888"/>
        <c:axId val="269149312"/>
      </c:scatterChart>
      <c:valAx>
        <c:axId val="269148160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9148736"/>
        <c:crosses val="autoZero"/>
        <c:crossBetween val="midCat"/>
      </c:valAx>
      <c:valAx>
        <c:axId val="26914873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9148160"/>
        <c:crosses val="autoZero"/>
        <c:crossBetween val="midCat"/>
      </c:valAx>
      <c:valAx>
        <c:axId val="269149312"/>
        <c:scaling>
          <c:orientation val="minMax"/>
        </c:scaling>
        <c:delete val="0"/>
        <c:axPos val="r"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9149888"/>
        <c:crosses val="max"/>
        <c:crossBetween val="midCat"/>
      </c:valAx>
      <c:valAx>
        <c:axId val="269149888"/>
        <c:scaling>
          <c:orientation val="minMax"/>
        </c:scaling>
        <c:delete val="1"/>
        <c:axPos val="b"/>
        <c:majorTickMark val="out"/>
        <c:minorTickMark val="none"/>
        <c:tickLblPos val="nextTo"/>
        <c:crossAx val="269149312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12785905011204"/>
          <c:y val="4.8721681841713972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Sheet1!$M$13:$P$13</c:f>
              <c:numCache>
                <c:formatCode>0.000</c:formatCode>
                <c:ptCount val="4"/>
                <c:pt idx="0">
                  <c:v>131288</c:v>
                </c:pt>
                <c:pt idx="1">
                  <c:v>132366</c:v>
                </c:pt>
                <c:pt idx="2" formatCode="0.00">
                  <c:v>135390.76761845552</c:v>
                </c:pt>
                <c:pt idx="3" formatCode="0.00">
                  <c:v>134744.45802689408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9152768"/>
        <c:axId val="269153344"/>
      </c:scatterChart>
      <c:valAx>
        <c:axId val="26915276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9153344"/>
        <c:crosses val="autoZero"/>
        <c:crossBetween val="midCat"/>
      </c:valAx>
      <c:valAx>
        <c:axId val="26915334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915276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13" Type="http://schemas.openxmlformats.org/officeDocument/2006/relationships/chart" Target="../charts/chart15.xml"/><Relationship Id="rId18" Type="http://schemas.openxmlformats.org/officeDocument/2006/relationships/chart" Target="../charts/chart2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12" Type="http://schemas.openxmlformats.org/officeDocument/2006/relationships/chart" Target="../charts/chart14.xml"/><Relationship Id="rId17" Type="http://schemas.openxmlformats.org/officeDocument/2006/relationships/chart" Target="../charts/chart19.xml"/><Relationship Id="rId2" Type="http://schemas.openxmlformats.org/officeDocument/2006/relationships/chart" Target="../charts/chart4.xml"/><Relationship Id="rId16" Type="http://schemas.openxmlformats.org/officeDocument/2006/relationships/chart" Target="../charts/chart18.xml"/><Relationship Id="rId20" Type="http://schemas.openxmlformats.org/officeDocument/2006/relationships/chart" Target="../charts/chart22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11" Type="http://schemas.openxmlformats.org/officeDocument/2006/relationships/chart" Target="../charts/chart13.xml"/><Relationship Id="rId5" Type="http://schemas.openxmlformats.org/officeDocument/2006/relationships/chart" Target="../charts/chart7.xml"/><Relationship Id="rId15" Type="http://schemas.openxmlformats.org/officeDocument/2006/relationships/chart" Target="../charts/chart17.xml"/><Relationship Id="rId10" Type="http://schemas.openxmlformats.org/officeDocument/2006/relationships/chart" Target="../charts/chart12.xml"/><Relationship Id="rId19" Type="http://schemas.openxmlformats.org/officeDocument/2006/relationships/chart" Target="../charts/chart21.xml"/><Relationship Id="rId4" Type="http://schemas.openxmlformats.org/officeDocument/2006/relationships/chart" Target="../charts/chart6.xml"/><Relationship Id="rId9" Type="http://schemas.openxmlformats.org/officeDocument/2006/relationships/chart" Target="../charts/chart11.xml"/><Relationship Id="rId14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8523" cy="608301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13229</xdr:colOff>
      <xdr:row>7</xdr:row>
      <xdr:rowOff>142875</xdr:rowOff>
    </xdr:from>
    <xdr:to>
      <xdr:col>3</xdr:col>
      <xdr:colOff>1666875</xdr:colOff>
      <xdr:row>10</xdr:row>
      <xdr:rowOff>357185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9223</xdr:colOff>
      <xdr:row>7</xdr:row>
      <xdr:rowOff>476250</xdr:rowOff>
    </xdr:from>
    <xdr:to>
      <xdr:col>6</xdr:col>
      <xdr:colOff>95250</xdr:colOff>
      <xdr:row>10</xdr:row>
      <xdr:rowOff>452437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254000</xdr:colOff>
      <xdr:row>5</xdr:row>
      <xdr:rowOff>222249</xdr:rowOff>
    </xdr:from>
    <xdr:to>
      <xdr:col>8</xdr:col>
      <xdr:colOff>635000</xdr:colOff>
      <xdr:row>10</xdr:row>
      <xdr:rowOff>674686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857250</xdr:colOff>
      <xdr:row>0</xdr:row>
      <xdr:rowOff>47624</xdr:rowOff>
    </xdr:from>
    <xdr:to>
      <xdr:col>14</xdr:col>
      <xdr:colOff>571500</xdr:colOff>
      <xdr:row>9</xdr:row>
      <xdr:rowOff>23812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</xdr:colOff>
      <xdr:row>13</xdr:row>
      <xdr:rowOff>31750</xdr:rowOff>
    </xdr:from>
    <xdr:to>
      <xdr:col>3</xdr:col>
      <xdr:colOff>1873251</xdr:colOff>
      <xdr:row>26</xdr:row>
      <xdr:rowOff>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13229</xdr:colOff>
      <xdr:row>33</xdr:row>
      <xdr:rowOff>142875</xdr:rowOff>
    </xdr:from>
    <xdr:to>
      <xdr:col>3</xdr:col>
      <xdr:colOff>1666875</xdr:colOff>
      <xdr:row>36</xdr:row>
      <xdr:rowOff>357185</xdr:rowOff>
    </xdr:to>
    <xdr:graphicFrame macro="">
      <xdr:nvGraphicFramePr>
        <xdr:cNvPr id="1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9223</xdr:colOff>
      <xdr:row>33</xdr:row>
      <xdr:rowOff>476250</xdr:rowOff>
    </xdr:from>
    <xdr:to>
      <xdr:col>6</xdr:col>
      <xdr:colOff>95250</xdr:colOff>
      <xdr:row>36</xdr:row>
      <xdr:rowOff>452437</xdr:rowOff>
    </xdr:to>
    <xdr:graphicFrame macro="">
      <xdr:nvGraphicFramePr>
        <xdr:cNvPr id="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2476500</xdr:colOff>
      <xdr:row>31</xdr:row>
      <xdr:rowOff>-1</xdr:rowOff>
    </xdr:from>
    <xdr:to>
      <xdr:col>8</xdr:col>
      <xdr:colOff>0</xdr:colOff>
      <xdr:row>36</xdr:row>
      <xdr:rowOff>452436</xdr:rowOff>
    </xdr:to>
    <xdr:graphicFrame macro="">
      <xdr:nvGraphicFramePr>
        <xdr:cNvPr id="1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857250</xdr:colOff>
      <xdr:row>26</xdr:row>
      <xdr:rowOff>47624</xdr:rowOff>
    </xdr:from>
    <xdr:to>
      <xdr:col>14</xdr:col>
      <xdr:colOff>571500</xdr:colOff>
      <xdr:row>35</xdr:row>
      <xdr:rowOff>23812</xdr:rowOff>
    </xdr:to>
    <xdr:graphicFrame macro="">
      <xdr:nvGraphicFramePr>
        <xdr:cNvPr id="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1293813</xdr:colOff>
      <xdr:row>45</xdr:row>
      <xdr:rowOff>253999</xdr:rowOff>
    </xdr:from>
    <xdr:to>
      <xdr:col>9</xdr:col>
      <xdr:colOff>1555751</xdr:colOff>
      <xdr:row>52</xdr:row>
      <xdr:rowOff>101600</xdr:rowOff>
    </xdr:to>
    <xdr:graphicFrame macro="">
      <xdr:nvGraphicFramePr>
        <xdr:cNvPr id="21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21</xdr:col>
      <xdr:colOff>13229</xdr:colOff>
      <xdr:row>7</xdr:row>
      <xdr:rowOff>142875</xdr:rowOff>
    </xdr:from>
    <xdr:to>
      <xdr:col>21</xdr:col>
      <xdr:colOff>1666875</xdr:colOff>
      <xdr:row>10</xdr:row>
      <xdr:rowOff>357185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23</xdr:col>
      <xdr:colOff>9223</xdr:colOff>
      <xdr:row>7</xdr:row>
      <xdr:rowOff>476250</xdr:rowOff>
    </xdr:from>
    <xdr:to>
      <xdr:col>24</xdr:col>
      <xdr:colOff>95250</xdr:colOff>
      <xdr:row>10</xdr:row>
      <xdr:rowOff>452437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25</xdr:col>
      <xdr:colOff>254000</xdr:colOff>
      <xdr:row>5</xdr:row>
      <xdr:rowOff>222249</xdr:rowOff>
    </xdr:from>
    <xdr:to>
      <xdr:col>26</xdr:col>
      <xdr:colOff>635000</xdr:colOff>
      <xdr:row>10</xdr:row>
      <xdr:rowOff>674686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26</xdr:col>
      <xdr:colOff>857250</xdr:colOff>
      <xdr:row>0</xdr:row>
      <xdr:rowOff>47624</xdr:rowOff>
    </xdr:from>
    <xdr:to>
      <xdr:col>32</xdr:col>
      <xdr:colOff>571500</xdr:colOff>
      <xdr:row>9</xdr:row>
      <xdr:rowOff>23812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18</xdr:col>
      <xdr:colOff>1</xdr:colOff>
      <xdr:row>13</xdr:row>
      <xdr:rowOff>31750</xdr:rowOff>
    </xdr:from>
    <xdr:to>
      <xdr:col>21</xdr:col>
      <xdr:colOff>1873251</xdr:colOff>
      <xdr:row>26</xdr:row>
      <xdr:rowOff>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21</xdr:col>
      <xdr:colOff>13229</xdr:colOff>
      <xdr:row>33</xdr:row>
      <xdr:rowOff>142875</xdr:rowOff>
    </xdr:from>
    <xdr:to>
      <xdr:col>21</xdr:col>
      <xdr:colOff>1666875</xdr:colOff>
      <xdr:row>36</xdr:row>
      <xdr:rowOff>357185</xdr:rowOff>
    </xdr:to>
    <xdr:graphicFrame macro="">
      <xdr:nvGraphicFramePr>
        <xdr:cNvPr id="2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23</xdr:col>
      <xdr:colOff>9223</xdr:colOff>
      <xdr:row>33</xdr:row>
      <xdr:rowOff>476250</xdr:rowOff>
    </xdr:from>
    <xdr:to>
      <xdr:col>24</xdr:col>
      <xdr:colOff>95250</xdr:colOff>
      <xdr:row>36</xdr:row>
      <xdr:rowOff>452437</xdr:rowOff>
    </xdr:to>
    <xdr:graphicFrame macro="">
      <xdr:nvGraphicFramePr>
        <xdr:cNvPr id="2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24</xdr:col>
      <xdr:colOff>2476500</xdr:colOff>
      <xdr:row>31</xdr:row>
      <xdr:rowOff>-1</xdr:rowOff>
    </xdr:from>
    <xdr:to>
      <xdr:col>26</xdr:col>
      <xdr:colOff>0</xdr:colOff>
      <xdr:row>36</xdr:row>
      <xdr:rowOff>452436</xdr:rowOff>
    </xdr:to>
    <xdr:graphicFrame macro="">
      <xdr:nvGraphicFramePr>
        <xdr:cNvPr id="2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26</xdr:col>
      <xdr:colOff>857250</xdr:colOff>
      <xdr:row>26</xdr:row>
      <xdr:rowOff>47624</xdr:rowOff>
    </xdr:from>
    <xdr:to>
      <xdr:col>32</xdr:col>
      <xdr:colOff>571500</xdr:colOff>
      <xdr:row>35</xdr:row>
      <xdr:rowOff>23812</xdr:rowOff>
    </xdr:to>
    <xdr:graphicFrame macro="">
      <xdr:nvGraphicFramePr>
        <xdr:cNvPr id="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23</xdr:col>
      <xdr:colOff>1293813</xdr:colOff>
      <xdr:row>45</xdr:row>
      <xdr:rowOff>253999</xdr:rowOff>
    </xdr:from>
    <xdr:to>
      <xdr:col>27</xdr:col>
      <xdr:colOff>1555751</xdr:colOff>
      <xdr:row>52</xdr:row>
      <xdr:rowOff>101600</xdr:rowOff>
    </xdr:to>
    <xdr:graphicFrame macro="">
      <xdr:nvGraphicFramePr>
        <xdr:cNvPr id="2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86"/>
  <sheetViews>
    <sheetView tabSelected="1" topLeftCell="H1" zoomScale="30" zoomScaleNormal="30" workbookViewId="0">
      <selection activeCell="S1" sqref="S1:AJ52"/>
    </sheetView>
  </sheetViews>
  <sheetFormatPr defaultRowHeight="15" x14ac:dyDescent="0.25"/>
  <cols>
    <col min="1" max="1" width="56.28515625" customWidth="1"/>
    <col min="2" max="2" width="40.28515625" customWidth="1"/>
    <col min="3" max="3" width="39.7109375" customWidth="1"/>
    <col min="4" max="4" width="35" customWidth="1"/>
    <col min="5" max="5" width="37.85546875" customWidth="1"/>
    <col min="6" max="6" width="55.85546875" customWidth="1"/>
    <col min="7" max="7" width="43" customWidth="1"/>
    <col min="8" max="8" width="33.7109375" customWidth="1"/>
    <col min="9" max="9" width="35.7109375" customWidth="1"/>
    <col min="10" max="10" width="34.7109375" customWidth="1"/>
    <col min="11" max="11" width="30.7109375" customWidth="1"/>
    <col min="12" max="12" width="51.5703125" customWidth="1"/>
    <col min="13" max="13" width="30.28515625" customWidth="1"/>
    <col min="14" max="14" width="40.5703125" customWidth="1"/>
    <col min="15" max="15" width="30.28515625" customWidth="1"/>
    <col min="16" max="16" width="27.7109375" customWidth="1"/>
    <col min="17" max="17" width="38.42578125" customWidth="1"/>
    <col min="18" max="18" width="27.85546875" customWidth="1"/>
    <col min="19" max="19" width="62" bestFit="1" customWidth="1"/>
    <col min="20" max="20" width="67.28515625" bestFit="1" customWidth="1"/>
    <col min="21" max="24" width="62" bestFit="1" customWidth="1"/>
    <col min="25" max="25" width="56.85546875" bestFit="1" customWidth="1"/>
    <col min="26" max="26" width="67.28515625" bestFit="1" customWidth="1"/>
    <col min="27" max="29" width="60.140625" bestFit="1" customWidth="1"/>
    <col min="30" max="30" width="46.85546875" bestFit="1" customWidth="1"/>
    <col min="31" max="32" width="51.5703125" bestFit="1" customWidth="1"/>
    <col min="33" max="34" width="46.85546875" bestFit="1" customWidth="1"/>
    <col min="35" max="36" width="34" bestFit="1" customWidth="1"/>
  </cols>
  <sheetData>
    <row r="1" spans="1:36" ht="62.25" thickBot="1" x14ac:dyDescent="0.95">
      <c r="A1" s="131">
        <f>(A13+A9*2)/3</f>
        <v>134744.45802689408</v>
      </c>
      <c r="B1" s="131">
        <f>(A3+A10*2)/3</f>
        <v>135390.76761845552</v>
      </c>
      <c r="C1" s="78">
        <v>132366</v>
      </c>
      <c r="D1" s="79">
        <v>131288</v>
      </c>
      <c r="E1" s="86">
        <f>(I13+K9+Q19)/3</f>
        <v>132961.56438061449</v>
      </c>
      <c r="F1" s="86">
        <f>(J13+K11+R20)/3</f>
        <v>132048.11267548261</v>
      </c>
      <c r="G1" s="59">
        <f>I16</f>
        <v>132642.42026041666</v>
      </c>
      <c r="H1" s="60">
        <f>I15</f>
        <v>132599.16800988311</v>
      </c>
      <c r="I1" s="34">
        <f>((D2+F2+H2)^0.5)*10000</f>
        <v>13053.565280927956</v>
      </c>
      <c r="J1" s="34">
        <f>INT(I1/3)</f>
        <v>4351</v>
      </c>
      <c r="K1" s="34">
        <f>(J1)/30000</f>
        <v>0.14503333333333332</v>
      </c>
      <c r="L1" s="35"/>
      <c r="M1" s="35"/>
      <c r="N1" s="35"/>
      <c r="O1" s="35"/>
      <c r="P1" s="35"/>
      <c r="Q1" s="35"/>
      <c r="R1" s="35"/>
      <c r="S1" s="140">
        <f>(S13+S9*2)/3</f>
        <v>134744.45802689408</v>
      </c>
      <c r="T1" s="140">
        <f>(S3+S10*2)/3</f>
        <v>135390.76761845552</v>
      </c>
      <c r="U1" s="141">
        <v>132366</v>
      </c>
      <c r="V1" s="142">
        <v>131288</v>
      </c>
      <c r="W1" s="143">
        <f>(AA13+AC9+AI19)/3</f>
        <v>132961.56438061449</v>
      </c>
      <c r="X1" s="143">
        <f>(AB13+AC11+AJ20)/3</f>
        <v>132048.11267548261</v>
      </c>
      <c r="Y1" s="144">
        <f>AA16</f>
        <v>132642.42026041666</v>
      </c>
      <c r="Z1" s="145">
        <f>AA15</f>
        <v>132599.16800988311</v>
      </c>
      <c r="AA1" s="38">
        <f>((V2+X2+Z2)^0.5)*10000</f>
        <v>13053.565280927956</v>
      </c>
      <c r="AB1" s="38">
        <f>INT(AA1/3)</f>
        <v>4351</v>
      </c>
      <c r="AC1" s="38">
        <f>(AB1)/30000</f>
        <v>0.14503333333333332</v>
      </c>
      <c r="AD1" s="40"/>
      <c r="AE1" s="40"/>
      <c r="AF1" s="40"/>
      <c r="AG1" s="40"/>
      <c r="AH1" s="40"/>
      <c r="AI1" s="40"/>
      <c r="AJ1" s="40"/>
    </row>
    <row r="2" spans="1:36" ht="60" customHeight="1" x14ac:dyDescent="0.9">
      <c r="A2" s="129">
        <f>(J4+45/360)^2/100</f>
        <v>134771.58765624999</v>
      </c>
      <c r="B2" s="87">
        <f>(A1+A3)/2</f>
        <v>135042.9883302337</v>
      </c>
      <c r="C2" s="88">
        <f>SUM((D2+F2+H2)/3)+((D7+F7+H7)/3)</f>
        <v>1.3047189019683476</v>
      </c>
      <c r="D2" s="62">
        <f>SUM(C1-D1)-D12-E9</f>
        <v>1</v>
      </c>
      <c r="E2" s="89">
        <v>2</v>
      </c>
      <c r="F2" s="61">
        <f>SUM(E1-F1)-D12-E10</f>
        <v>0.45170513188350014</v>
      </c>
      <c r="G2" s="14">
        <f>SUM(H8+H10)/2</f>
        <v>132621.05565496706</v>
      </c>
      <c r="H2" s="63">
        <f>SUM(G1-H1)-D12-E11</f>
        <v>0.25225053355097771</v>
      </c>
      <c r="I2" s="34">
        <f>SUM((D4+F4+H4)^0.5)*10000</f>
        <v>14866.744904216812</v>
      </c>
      <c r="J2" s="34">
        <f>INT(I2/3)</f>
        <v>4955</v>
      </c>
      <c r="K2" s="34">
        <f>J2/10000</f>
        <v>0.4955</v>
      </c>
      <c r="L2" s="35"/>
      <c r="M2" s="35"/>
      <c r="N2" s="35"/>
      <c r="O2" s="35"/>
      <c r="P2" s="35"/>
      <c r="Q2" s="35"/>
      <c r="R2" s="35"/>
      <c r="S2" s="129">
        <f>(AB4+45/360)^2/100</f>
        <v>134771.58765624999</v>
      </c>
      <c r="T2" s="87">
        <f>(S1+S3)/2</f>
        <v>135042.9883302337</v>
      </c>
      <c r="U2" s="90">
        <f>SUM((V2+X2+Z2)/3)+((V7+X7+Z7)/3)</f>
        <v>1.3047189019683476</v>
      </c>
      <c r="V2" s="146">
        <f>SUM(U1-V1)-V12-W9</f>
        <v>1</v>
      </c>
      <c r="W2" s="147">
        <v>2</v>
      </c>
      <c r="X2" s="148">
        <f>SUM(W1-X1)-V12-W10</f>
        <v>0.45170513188350014</v>
      </c>
      <c r="Y2" s="149">
        <f>SUM(Z8+Z10)/2</f>
        <v>132621.05565496706</v>
      </c>
      <c r="Z2" s="150">
        <f>SUM(Y1-Z1)-V12-W11</f>
        <v>0.25225053355097771</v>
      </c>
      <c r="AA2" s="38">
        <f>SUM((V4+X4+Z4)^0.5)*10000</f>
        <v>14866.744904216812</v>
      </c>
      <c r="AB2" s="38">
        <f>INT(AA2/3)</f>
        <v>4955</v>
      </c>
      <c r="AC2" s="38">
        <f>AB2/10000</f>
        <v>0.4955</v>
      </c>
      <c r="AD2" s="40"/>
      <c r="AE2" s="40"/>
      <c r="AF2" s="40"/>
      <c r="AG2" s="40"/>
      <c r="AH2" s="40"/>
      <c r="AI2" s="40"/>
      <c r="AJ2" s="40"/>
    </row>
    <row r="3" spans="1:36" ht="54" customHeight="1" thickBot="1" x14ac:dyDescent="0.95">
      <c r="A3" s="90">
        <f>(A10+K5)/2</f>
        <v>135341.51863357332</v>
      </c>
      <c r="B3" s="90">
        <f>SUM((A10-A12)+A9)/2</f>
        <v>135992.02973182368</v>
      </c>
      <c r="C3" s="88">
        <f>SUM(D8+D10)/2</f>
        <v>131827.45713540792</v>
      </c>
      <c r="D3" s="5">
        <f>SUM(C1+D1)/2</f>
        <v>131827</v>
      </c>
      <c r="E3" s="5">
        <f>SUM(D9+D11)/2</f>
        <v>131827.01979660042</v>
      </c>
      <c r="F3" s="5">
        <f>SUM(E1+F1)/2</f>
        <v>132504.83852804854</v>
      </c>
      <c r="G3" s="1">
        <f>SUM(H9+H11)/2</f>
        <v>132620.65700686097</v>
      </c>
      <c r="H3" s="1">
        <f>SUM(G1+H1)/2</f>
        <v>132620.79413514989</v>
      </c>
      <c r="I3" s="34">
        <f>K2*K1</f>
        <v>7.1864016666666655E-2</v>
      </c>
      <c r="J3" s="34"/>
      <c r="K3" s="34"/>
      <c r="L3" s="35"/>
      <c r="M3" s="35"/>
      <c r="N3" s="35"/>
      <c r="O3" s="35"/>
      <c r="P3" s="35"/>
      <c r="Q3" s="35"/>
      <c r="R3" s="35"/>
      <c r="S3" s="90">
        <f>(S10+AC5)/2</f>
        <v>135341.51863357332</v>
      </c>
      <c r="T3" s="90">
        <f>SUM((S10-S12)+S9)/2</f>
        <v>135992.02973182368</v>
      </c>
      <c r="U3" s="90">
        <f>SUM(V8+V10)/2</f>
        <v>131827.45713540792</v>
      </c>
      <c r="V3" s="151">
        <f>SUM(U1+V1)/2</f>
        <v>131827</v>
      </c>
      <c r="W3" s="151">
        <f>SUM(V9+V11)/2</f>
        <v>131827.01979660042</v>
      </c>
      <c r="X3" s="151">
        <f>SUM(W1+X1)/2</f>
        <v>132504.83852804854</v>
      </c>
      <c r="Y3" s="149">
        <f>SUM(Z9+Z11)/2</f>
        <v>132620.65700686097</v>
      </c>
      <c r="Z3" s="149">
        <f>SUM(Y1+Z1)/2</f>
        <v>132620.79413514989</v>
      </c>
      <c r="AA3" s="38">
        <f>AC2*AC1</f>
        <v>7.1864016666666655E-2</v>
      </c>
      <c r="AB3" s="38"/>
      <c r="AC3" s="38"/>
      <c r="AD3" s="40"/>
      <c r="AE3" s="40"/>
      <c r="AF3" s="40"/>
      <c r="AG3" s="40"/>
      <c r="AH3" s="40"/>
      <c r="AI3" s="40"/>
      <c r="AJ3" s="40"/>
    </row>
    <row r="4" spans="1:36" ht="57.75" customHeight="1" thickBot="1" x14ac:dyDescent="0.95">
      <c r="A4" s="91">
        <f>(B1+A10+B3)/3</f>
        <v>135599.39648705861</v>
      </c>
      <c r="B4" s="130">
        <f>SUM((A10+A12))</f>
        <v>133585.75685916876</v>
      </c>
      <c r="C4" s="88">
        <f>SUM(C3+E4+G2+F18)/4</f>
        <v>132232.83744979894</v>
      </c>
      <c r="D4" s="64">
        <f>SUM((((D3*0.6)-2)/-2)-D13-E12)</f>
        <v>0.90000000000145519</v>
      </c>
      <c r="E4" s="89">
        <f>SUM(F10+F8)/2</f>
        <v>132505.0126959327</v>
      </c>
      <c r="F4" s="64">
        <f>SUM((((F3*0.6)-2)/-2)-D13-E13)</f>
        <v>0.54844158543710364</v>
      </c>
      <c r="G4" s="19"/>
      <c r="H4" s="64">
        <f>SUM((((H3*0.6)-2)/-2)-D13-E14)</f>
        <v>0.76175945503200637</v>
      </c>
      <c r="I4" s="34">
        <f>((A9*100))^0.5</f>
        <v>3670.6815729646573</v>
      </c>
      <c r="J4" s="36">
        <f>INT(I4)+J15</f>
        <v>3671</v>
      </c>
      <c r="K4" s="34">
        <f>((J4)+45/360)^2/100</f>
        <v>134771.58765624999</v>
      </c>
      <c r="L4" s="35"/>
      <c r="M4" s="35"/>
      <c r="N4" s="35"/>
      <c r="O4" s="35"/>
      <c r="P4" s="35"/>
      <c r="Q4" s="35"/>
      <c r="R4" s="35"/>
      <c r="S4" s="129">
        <f>(T1+S10+T3)/3</f>
        <v>135599.39648705861</v>
      </c>
      <c r="T4" s="152">
        <f>SUM((S10+S12))</f>
        <v>133585.75685916876</v>
      </c>
      <c r="U4" s="90">
        <f>SUM(U3+W4+Y2+X18)/4</f>
        <v>132232.83744979894</v>
      </c>
      <c r="V4" s="153">
        <f>SUM((((V3*0.6)-2)/-2)-V13-W12)</f>
        <v>0.90000000000145519</v>
      </c>
      <c r="W4" s="147">
        <f>SUM(X10+X8)/2</f>
        <v>132505.0126959327</v>
      </c>
      <c r="X4" s="153">
        <f>SUM((((X3*0.6)-2)/-2)-V13-W13)</f>
        <v>0.54844158543710364</v>
      </c>
      <c r="Y4" s="154"/>
      <c r="Z4" s="153">
        <f>SUM((((Z3*0.6)-2)/-2)-V13-W14)</f>
        <v>0.76175945503200637</v>
      </c>
      <c r="AA4" s="38">
        <f>((S9*100))^0.5</f>
        <v>3670.6815729646573</v>
      </c>
      <c r="AB4" s="155">
        <f>INT(AA4)+AB15</f>
        <v>3671</v>
      </c>
      <c r="AC4" s="38">
        <f>((AB4)+45/360)^2/100</f>
        <v>134771.58765624999</v>
      </c>
      <c r="AD4" s="40"/>
      <c r="AE4" s="40"/>
      <c r="AF4" s="40"/>
      <c r="AG4" s="40"/>
      <c r="AH4" s="40"/>
      <c r="AI4" s="40"/>
      <c r="AJ4" s="40"/>
    </row>
    <row r="5" spans="1:36" ht="93" customHeight="1" x14ac:dyDescent="0.9">
      <c r="A5" s="88">
        <f>SUM((C5-B11)/2+C11/2+A6)</f>
        <v>132232.78710660894</v>
      </c>
      <c r="B5" s="88">
        <f>SUM(C10-C11)</f>
        <v>5.7569891097955406E-2</v>
      </c>
      <c r="C5" s="88">
        <f>SUM(E3+E5+H3+F17)/4</f>
        <v>132232.80866485339</v>
      </c>
      <c r="D5" s="92">
        <f>SUM(((D4*D2)+I3)/2)</f>
        <v>0.48593200833406092</v>
      </c>
      <c r="E5" s="92">
        <f>SUM(F9+F11)/2</f>
        <v>132504.81867469623</v>
      </c>
      <c r="F5" s="92">
        <f>SUM(((F4*F2)+I3)/2)</f>
        <v>0.15979894767346473</v>
      </c>
      <c r="G5" s="138">
        <f>(F39)</f>
        <v>130770.91467558063</v>
      </c>
      <c r="H5" s="18">
        <f>SUM(((H4*H2)+I3)/2)</f>
        <v>0.13200912281799615</v>
      </c>
      <c r="I5" s="34">
        <f>(A10*100)^0.5</f>
        <v>3679.883043126461</v>
      </c>
      <c r="J5" s="34">
        <f>INT(I5)-J15</f>
        <v>3678</v>
      </c>
      <c r="K5" s="34">
        <f>(J5-45/360)^2/100</f>
        <v>135267.64515624999</v>
      </c>
      <c r="L5" s="35"/>
      <c r="M5" s="35"/>
      <c r="N5" s="35"/>
      <c r="O5" s="35"/>
      <c r="P5" s="35"/>
      <c r="Q5" s="35"/>
      <c r="R5" s="35"/>
      <c r="S5" s="90">
        <f>SUM((U5-T11)/2+U11/2+S6)</f>
        <v>132232.78710660894</v>
      </c>
      <c r="T5" s="90">
        <f>SUM(U10-U11)</f>
        <v>5.7569891097955406E-2</v>
      </c>
      <c r="U5" s="90">
        <f>SUM(W3+W5+Z3+X17)/4</f>
        <v>132232.80866485339</v>
      </c>
      <c r="V5" s="156">
        <f>SUM(((V4*V2)+AA3)/2)</f>
        <v>0.48593200833406092</v>
      </c>
      <c r="W5" s="156">
        <f>SUM(X9+X11)/2</f>
        <v>132504.81867469623</v>
      </c>
      <c r="X5" s="156">
        <f>SUM(((X4*X2)+AA3)/2)</f>
        <v>0.15979894767346473</v>
      </c>
      <c r="Y5" s="138">
        <f>(X39)</f>
        <v>130770.91467558063</v>
      </c>
      <c r="Z5" s="157">
        <f>SUM(((Z4*Z2)+AA3)/2)</f>
        <v>0.13200912281799615</v>
      </c>
      <c r="AA5" s="38">
        <f>(S10*100)^0.5</f>
        <v>3679.883043126461</v>
      </c>
      <c r="AB5" s="38">
        <f>INT(AA5)-AB15</f>
        <v>3678</v>
      </c>
      <c r="AC5" s="38">
        <f>(AB5-45/360)^2/100</f>
        <v>135267.64515624999</v>
      </c>
      <c r="AD5" s="40"/>
      <c r="AE5" s="40"/>
      <c r="AF5" s="40"/>
      <c r="AG5" s="40"/>
      <c r="AH5" s="40"/>
      <c r="AI5" s="40"/>
      <c r="AJ5" s="40"/>
    </row>
    <row r="6" spans="1:36" ht="82.5" customHeight="1" thickBot="1" x14ac:dyDescent="0.95">
      <c r="A6" s="88">
        <f>SUM(((A14+B11)/2)*(B9/(C4*C5)))*3.33</f>
        <v>3.0463153638250101E-5</v>
      </c>
      <c r="B6" s="88">
        <f>SUM(C10-B14)</f>
        <v>132232.6090235094</v>
      </c>
      <c r="C6" s="110">
        <f>SUM(((C4-C5)-2)/2+C7)</f>
        <v>-0.98560752722551115</v>
      </c>
      <c r="D6" s="5">
        <f>SUM(D5*D4)/D2</f>
        <v>0.43733880750136195</v>
      </c>
      <c r="E6" s="106">
        <v>-1829.635</v>
      </c>
      <c r="F6" s="5">
        <f>SUM(F5*F4)/F2</f>
        <v>0.19402123648181002</v>
      </c>
      <c r="G6" s="139">
        <f>N10</f>
        <v>132552.76299846574</v>
      </c>
      <c r="H6" s="1">
        <f>SUM(H5*H4)/H2</f>
        <v>0.39864810607731688</v>
      </c>
      <c r="I6" s="34">
        <f>(A9+B8)/2</f>
        <v>133485.92038293814</v>
      </c>
      <c r="J6" s="37"/>
      <c r="K6" s="37"/>
      <c r="L6" s="35"/>
      <c r="M6" s="35"/>
      <c r="N6" s="35"/>
      <c r="O6" s="35"/>
      <c r="P6" s="35"/>
      <c r="Q6" s="35"/>
      <c r="R6" s="35"/>
      <c r="S6" s="90">
        <f>SUM(((S14+T11)/2)*(T9/(U4*U5)))*3.33</f>
        <v>3.0463153638250101E-5</v>
      </c>
      <c r="T6" s="90">
        <f>SUM(U10-T14)</f>
        <v>132232.6090235094</v>
      </c>
      <c r="U6" s="158">
        <f>SUM(((U4-U5)-2)/2+U7)</f>
        <v>-0.98560752722551115</v>
      </c>
      <c r="V6" s="151">
        <f>SUM(V5*V4)/V2</f>
        <v>0.43733880750136195</v>
      </c>
      <c r="W6" s="159">
        <v>-1829.635</v>
      </c>
      <c r="X6" s="151">
        <f>SUM(X5*X4)/X2</f>
        <v>0.19402123648181002</v>
      </c>
      <c r="Y6" s="139">
        <f>AF10</f>
        <v>132552.76299846574</v>
      </c>
      <c r="Z6" s="149">
        <f>SUM(Z5*Z4)/Z2</f>
        <v>0.39864810607731688</v>
      </c>
      <c r="AA6" s="38">
        <f>(S9+T8)/2</f>
        <v>133485.92038293814</v>
      </c>
      <c r="AB6" s="38"/>
      <c r="AC6" s="38"/>
      <c r="AD6" s="40"/>
      <c r="AE6" s="40"/>
      <c r="AF6" s="40"/>
      <c r="AG6" s="40"/>
      <c r="AH6" s="40"/>
      <c r="AI6" s="40"/>
      <c r="AJ6" s="40"/>
    </row>
    <row r="7" spans="1:36" ht="57.75" customHeight="1" thickBot="1" x14ac:dyDescent="0.95">
      <c r="A7" s="107">
        <f>SUM(A9+A10+A8)/3+A11*-1</f>
        <v>134129.0704232564</v>
      </c>
      <c r="B7" s="88">
        <f>SUM(C11+B14)</f>
        <v>132233.03709114916</v>
      </c>
      <c r="C7" s="88">
        <f>SUM(E15)</f>
        <v>0</v>
      </c>
      <c r="D7" s="5">
        <f>SUM(D4)</f>
        <v>0.90000000000145519</v>
      </c>
      <c r="E7" s="93">
        <v>-40147</v>
      </c>
      <c r="F7" s="5">
        <f>SUM(F4)</f>
        <v>0.54844158543710364</v>
      </c>
      <c r="G7" s="4">
        <f>SUM((C1+E1+G1+G8)/4+(D1+F1+H1+H17)/4)/2*G12</f>
        <v>133061.60049020767</v>
      </c>
      <c r="H7" s="1">
        <f>SUM(H4)</f>
        <v>0.76175945503200637</v>
      </c>
      <c r="I7" s="38">
        <f>(A10+B12)/2</f>
        <v>115207.37801589348</v>
      </c>
      <c r="J7" s="37"/>
      <c r="K7" s="39">
        <f>H13</f>
        <v>45</v>
      </c>
      <c r="L7" s="40"/>
      <c r="M7" s="40"/>
      <c r="N7" s="40"/>
      <c r="O7" s="40"/>
      <c r="P7" s="40"/>
      <c r="Q7" s="40"/>
      <c r="R7" s="40"/>
      <c r="S7" s="90">
        <f>SUM(S9+S10+S8)/3+S11*-1</f>
        <v>134129.0704232564</v>
      </c>
      <c r="T7" s="90">
        <f>SUM(U11+T14)</f>
        <v>132233.03709114916</v>
      </c>
      <c r="U7" s="90">
        <f>SUM(W15)</f>
        <v>0</v>
      </c>
      <c r="V7" s="151">
        <f>SUM(V4)</f>
        <v>0.90000000000145519</v>
      </c>
      <c r="W7" s="160">
        <v>-40147</v>
      </c>
      <c r="X7" s="151">
        <f>SUM(X4)</f>
        <v>0.54844158543710364</v>
      </c>
      <c r="Y7" s="161">
        <f>SUM((U1+W1+Y1+Y8)/4+(V1+X1+Z1+Z17)/4)/2*Y12</f>
        <v>133061.60049020767</v>
      </c>
      <c r="Z7" s="149">
        <f>SUM(Z4)</f>
        <v>0.76175945503200637</v>
      </c>
      <c r="AA7" s="38">
        <f>(S10+T12)/2</f>
        <v>115207.37801589348</v>
      </c>
      <c r="AB7" s="38"/>
      <c r="AC7" s="42">
        <f>Z13</f>
        <v>45</v>
      </c>
      <c r="AD7" s="40"/>
      <c r="AE7" s="40"/>
      <c r="AF7" s="40"/>
      <c r="AG7" s="40"/>
      <c r="AH7" s="40"/>
      <c r="AI7" s="40"/>
      <c r="AJ7" s="40"/>
    </row>
    <row r="8" spans="1:36" ht="51.75" customHeight="1" thickBot="1" x14ac:dyDescent="0.95">
      <c r="A8" s="108">
        <f>SUM((C5-B11)/2+C11/2+A11)</f>
        <v>132232.78708529388</v>
      </c>
      <c r="B8" s="88">
        <f>SUM(C4-B11)</f>
        <v>132232.80866485339</v>
      </c>
      <c r="C8" s="88">
        <f>SUM((D6+F6+H6+M11)*C6)/4</f>
        <v>-0.3733958243638939</v>
      </c>
      <c r="D8" s="5">
        <f>SUM(C1+D5)</f>
        <v>132366.48593200833</v>
      </c>
      <c r="E8" s="94">
        <v>992</v>
      </c>
      <c r="F8" s="5">
        <f>SUM(E1+F5)</f>
        <v>132961.72417956218</v>
      </c>
      <c r="G8" s="4">
        <f>SUM(H17/G9)*G10</f>
        <v>132912.32023321185</v>
      </c>
      <c r="H8" s="3">
        <f>SUM(G1+H5)</f>
        <v>132642.55226953948</v>
      </c>
      <c r="I8" s="41">
        <f>C1^0.5</f>
        <v>363.82138474806561</v>
      </c>
      <c r="J8" s="42">
        <f>INT(I8)</f>
        <v>363</v>
      </c>
      <c r="K8" s="38">
        <f>(I8+K7/360)^2</f>
        <v>132456.97097118699</v>
      </c>
      <c r="L8" s="40"/>
      <c r="M8" s="40"/>
      <c r="N8" s="40"/>
      <c r="O8" s="40"/>
      <c r="P8" s="40"/>
      <c r="Q8" s="40"/>
      <c r="R8" s="40"/>
      <c r="S8" s="162">
        <f>SUM((U5-T11)/2+U11/2+S11)</f>
        <v>132232.78708529388</v>
      </c>
      <c r="T8" s="90">
        <f>SUM(U4-T11)</f>
        <v>132232.80866485339</v>
      </c>
      <c r="U8" s="90">
        <f>SUM((V6+X6+Z6+AE11)*U6)/4</f>
        <v>-0.3733958243638939</v>
      </c>
      <c r="V8" s="151">
        <f>SUM(U1+V5)</f>
        <v>132366.48593200833</v>
      </c>
      <c r="W8" s="163">
        <v>992</v>
      </c>
      <c r="X8" s="151">
        <f>SUM(W1+X5)</f>
        <v>132961.72417956218</v>
      </c>
      <c r="Y8" s="161">
        <f>SUM(Z17/Y9)*Y10</f>
        <v>132912.32023321185</v>
      </c>
      <c r="Z8" s="164">
        <f>SUM(Y1+Z5)</f>
        <v>132642.55226953948</v>
      </c>
      <c r="AA8" s="165">
        <f>U1^0.5</f>
        <v>363.82138474806561</v>
      </c>
      <c r="AB8" s="42">
        <f>INT(AA8)</f>
        <v>363</v>
      </c>
      <c r="AC8" s="38">
        <f>(AA8+AC7/360)^2</f>
        <v>132456.97097118699</v>
      </c>
      <c r="AD8" s="40"/>
      <c r="AE8" s="40"/>
      <c r="AF8" s="40"/>
      <c r="AG8" s="40"/>
      <c r="AH8" s="40"/>
      <c r="AI8" s="40"/>
      <c r="AJ8" s="40"/>
    </row>
    <row r="9" spans="1:36" ht="60" customHeight="1" x14ac:dyDescent="0.9">
      <c r="A9" s="132">
        <f>SUM(((A10-E6)+B7))/2</f>
        <v>134739.03210102289</v>
      </c>
      <c r="B9" s="88">
        <f>SUM(C4+C5)/2^(C8*C15)/2</f>
        <v>105625.9735104245</v>
      </c>
      <c r="C9" s="110">
        <f>SUM(C8*C6)-2/2+C12</f>
        <v>0.8680217351276287</v>
      </c>
      <c r="D9" s="5">
        <f>SUM(D8-D6)</f>
        <v>132366.04859320083</v>
      </c>
      <c r="E9" s="95">
        <v>1077</v>
      </c>
      <c r="F9" s="5">
        <f>SUM(F8-F6)</f>
        <v>132961.53015832571</v>
      </c>
      <c r="G9" s="4">
        <f>SUM(G11/G12)</f>
        <v>131894.74474240033</v>
      </c>
      <c r="H9" s="3">
        <f>SUM(H8-H6)</f>
        <v>132642.15362143339</v>
      </c>
      <c r="I9" s="42">
        <f>J8</f>
        <v>363</v>
      </c>
      <c r="J9" s="38">
        <f>(I9-K7/360)^2</f>
        <v>131678.265625</v>
      </c>
      <c r="K9" s="43">
        <f>(K8+D1)/2</f>
        <v>131872.4854855935</v>
      </c>
      <c r="L9" s="40"/>
      <c r="M9" s="40"/>
      <c r="N9" s="40"/>
      <c r="O9" s="40"/>
      <c r="P9" s="40"/>
      <c r="Q9" s="40"/>
      <c r="R9" s="40"/>
      <c r="S9" s="132">
        <f>SUM(((S10-W6)+T7))/2</f>
        <v>134739.03210102289</v>
      </c>
      <c r="T9" s="90">
        <f>SUM(U4+U5)/2^(U8*U15)/2</f>
        <v>105625.9735104245</v>
      </c>
      <c r="U9" s="158">
        <f>SUM(U8*U6)-2/2+U12</f>
        <v>0.8680217351276287</v>
      </c>
      <c r="V9" s="151">
        <f>SUM(V8-V6)</f>
        <v>132366.04859320083</v>
      </c>
      <c r="W9" s="166">
        <v>1077</v>
      </c>
      <c r="X9" s="151">
        <f>SUM(X8-X6)</f>
        <v>132961.53015832571</v>
      </c>
      <c r="Y9" s="161">
        <f>SUM(Y11/Y12)</f>
        <v>131894.74474240033</v>
      </c>
      <c r="Z9" s="164">
        <f>SUM(Z8-Z6)</f>
        <v>132642.15362143339</v>
      </c>
      <c r="AA9" s="42">
        <f>AB8</f>
        <v>363</v>
      </c>
      <c r="AB9" s="38">
        <f>(AA9-AC7/360)^2</f>
        <v>131678.265625</v>
      </c>
      <c r="AC9" s="38">
        <f>(AC8+V1)/2</f>
        <v>131872.4854855935</v>
      </c>
      <c r="AD9" s="40"/>
      <c r="AE9" s="40"/>
      <c r="AF9" s="40"/>
      <c r="AG9" s="40"/>
      <c r="AH9" s="40"/>
      <c r="AI9" s="40"/>
      <c r="AJ9" s="40"/>
    </row>
    <row r="10" spans="1:36" ht="56.25" customHeight="1" thickBot="1" x14ac:dyDescent="0.95">
      <c r="A10" s="133">
        <f>(B13+B12+B10+B7)/4</f>
        <v>135415.39211089662</v>
      </c>
      <c r="B10" s="88">
        <f>SUM(C4+C5)/2^(C8*C9)/2</f>
        <v>165541.85407800705</v>
      </c>
      <c r="C10" s="88">
        <f>SUM(C4+C5)/2*(C4/C5)</f>
        <v>132232.85184227483</v>
      </c>
      <c r="D10" s="5">
        <f>SUM(D11+D6)</f>
        <v>131288.42833880751</v>
      </c>
      <c r="E10" s="95">
        <v>913</v>
      </c>
      <c r="F10" s="5">
        <f>SUM(F11+F6)</f>
        <v>132048.30121230322</v>
      </c>
      <c r="G10" s="4">
        <f>SUM(H17+G13+G11)/3</f>
        <v>132572.54935328092</v>
      </c>
      <c r="H10" s="3">
        <f>SUM(H11+H6)</f>
        <v>132599.55904039464</v>
      </c>
      <c r="I10" s="34">
        <f>(D1^0.5)</f>
        <v>362.3368598417776</v>
      </c>
      <c r="J10" s="38">
        <f>INT(I10)</f>
        <v>362</v>
      </c>
      <c r="K10" s="43">
        <f>(J10+K7/360)^2</f>
        <v>131134.515625</v>
      </c>
      <c r="L10" s="83">
        <f>SUM((((L11*0.6)-2)/-2))-E7</f>
        <v>0.95000000000436557</v>
      </c>
      <c r="M10" s="52">
        <f>SUM(((L12*L10)+I3)/2)</f>
        <v>0.51093200833551611</v>
      </c>
      <c r="N10" s="82">
        <f>(B4+B30)/2</f>
        <v>132552.76299846574</v>
      </c>
      <c r="O10" s="40"/>
      <c r="P10" s="40"/>
      <c r="Q10" s="40"/>
      <c r="R10" s="40"/>
      <c r="S10" s="133">
        <f>(T13+T12+T10+T7)/4</f>
        <v>135415.39211089662</v>
      </c>
      <c r="T10" s="90">
        <f>SUM(U4+U5)/2^(U8*U9)/2</f>
        <v>165541.85407800705</v>
      </c>
      <c r="U10" s="90">
        <f>SUM(U4+U5)/2*(U4/U5)</f>
        <v>132232.85184227483</v>
      </c>
      <c r="V10" s="151">
        <f>SUM(V11+V6)</f>
        <v>131288.42833880751</v>
      </c>
      <c r="W10" s="166">
        <v>913</v>
      </c>
      <c r="X10" s="151">
        <f>SUM(X11+X6)</f>
        <v>132048.30121230322</v>
      </c>
      <c r="Y10" s="161">
        <f>SUM(Z17+Y13+Y11)/3</f>
        <v>132572.54935328092</v>
      </c>
      <c r="Z10" s="164">
        <f>SUM(Z11+Z6)</f>
        <v>132599.55904039464</v>
      </c>
      <c r="AA10" s="38">
        <f>(V1^0.5)</f>
        <v>362.3368598417776</v>
      </c>
      <c r="AB10" s="38">
        <f>INT(AA10)</f>
        <v>362</v>
      </c>
      <c r="AC10" s="38">
        <f>(AB10+AC7/360)^2</f>
        <v>131134.515625</v>
      </c>
      <c r="AD10" s="83">
        <f>SUM((((AD11*0.6)-2)/-2))-W7</f>
        <v>0.95000000000436557</v>
      </c>
      <c r="AE10" s="52">
        <f>SUM(((AD12*AD10)+AA3)/2)</f>
        <v>0.51093200833551611</v>
      </c>
      <c r="AF10" s="82">
        <f>(T4+T30)/2</f>
        <v>132552.76299846574</v>
      </c>
      <c r="AG10" s="40"/>
      <c r="AH10" s="40"/>
      <c r="AI10" s="40"/>
      <c r="AJ10" s="40"/>
    </row>
    <row r="11" spans="1:36" ht="62.25" thickBot="1" x14ac:dyDescent="0.95">
      <c r="A11" s="136">
        <f>SUM(((A14+B11)/2)*(B9/(C4*C5)))</f>
        <v>9.1480941856606909E-6</v>
      </c>
      <c r="B11" s="88">
        <f>SUM(C4-C5)</f>
        <v>2.8784945548977703E-2</v>
      </c>
      <c r="C11" s="88">
        <f>SUM(C5+C4)/2*(C5/C4)</f>
        <v>132232.79427238373</v>
      </c>
      <c r="D11" s="5">
        <f>SUM(D1-(D7/100))</f>
        <v>131287.99100000001</v>
      </c>
      <c r="E11" s="95">
        <v>43</v>
      </c>
      <c r="F11" s="5">
        <f>SUM(F1-(F7/100))</f>
        <v>132048.10719106675</v>
      </c>
      <c r="G11" s="4">
        <f>SUM(H17+G13)/2</f>
        <v>132572.54935328092</v>
      </c>
      <c r="H11" s="3">
        <f>SUM(H1-H7/100)</f>
        <v>132599.16039228856</v>
      </c>
      <c r="I11" s="44">
        <f>J10</f>
        <v>362</v>
      </c>
      <c r="J11" s="34">
        <f>(I11+K7/360)^2</f>
        <v>131134.515625</v>
      </c>
      <c r="K11" s="45">
        <f>(K9+K10+C1)/3</f>
        <v>131791.00037019784</v>
      </c>
      <c r="L11" s="52">
        <f>((J12+K12)/2)</f>
        <v>133823.5</v>
      </c>
      <c r="M11" s="52">
        <f>(M10*L10)/L12</f>
        <v>0.48538540792097079</v>
      </c>
      <c r="N11" s="40"/>
      <c r="O11" s="40"/>
      <c r="P11" s="40"/>
      <c r="Q11" s="40"/>
      <c r="R11" s="40"/>
      <c r="S11" s="167">
        <f>SUM(((S14+T11)/2)*(T9/(U4*U5)))</f>
        <v>9.1480941856606909E-6</v>
      </c>
      <c r="T11" s="90">
        <f>SUM(U4-U5)</f>
        <v>2.8784945548977703E-2</v>
      </c>
      <c r="U11" s="90">
        <f>SUM(U5+U4)/2*(U5/U4)</f>
        <v>132232.79427238373</v>
      </c>
      <c r="V11" s="151">
        <f>SUM(V1-(V7/100))</f>
        <v>131287.99100000001</v>
      </c>
      <c r="W11" s="166">
        <v>43</v>
      </c>
      <c r="X11" s="151">
        <f>SUM(X1-(X7/100))</f>
        <v>132048.10719106675</v>
      </c>
      <c r="Y11" s="161">
        <f>SUM(Z17+Y13)/2</f>
        <v>132572.54935328092</v>
      </c>
      <c r="Z11" s="164">
        <f>SUM(Z1-Z7/100)</f>
        <v>132599.16039228856</v>
      </c>
      <c r="AA11" s="168">
        <f>AB10</f>
        <v>362</v>
      </c>
      <c r="AB11" s="38">
        <f>(AA11+AC7/360)^2</f>
        <v>131134.515625</v>
      </c>
      <c r="AC11" s="38">
        <f>(AC9+AC10+U1)/3</f>
        <v>131791.00037019784</v>
      </c>
      <c r="AD11" s="52">
        <f>((AB12+AC12)/2)</f>
        <v>133823.5</v>
      </c>
      <c r="AE11" s="52">
        <f>(AE10*AD10)/AD12</f>
        <v>0.48538540792097079</v>
      </c>
      <c r="AF11" s="40"/>
      <c r="AG11" s="40"/>
      <c r="AH11" s="40"/>
      <c r="AI11" s="40"/>
      <c r="AJ11" s="40"/>
    </row>
    <row r="12" spans="1:36" ht="62.25" thickBot="1" x14ac:dyDescent="0.95">
      <c r="A12" s="137">
        <f>SUM((A10-C1)*0.6-E2/B2)*F12</f>
        <v>-1829.6352517278715</v>
      </c>
      <c r="B12" s="88">
        <f>SUM(B9+B8)/2*(B9/B8)</f>
        <v>94999.363920890333</v>
      </c>
      <c r="C12" s="96">
        <v>1.5</v>
      </c>
      <c r="D12" s="96">
        <v>0</v>
      </c>
      <c r="E12" s="97">
        <v>-39548</v>
      </c>
      <c r="F12" s="98">
        <v>-1</v>
      </c>
      <c r="G12" s="4">
        <f>SUM((C1+E1+G1)/3)/((D1+F1+H1)/3)</f>
        <v>1.0051389811793061</v>
      </c>
      <c r="H12" s="80"/>
      <c r="I12" s="43">
        <f>(J11+K11+K10)/3</f>
        <v>131353.34387339928</v>
      </c>
      <c r="J12" s="81">
        <v>134320</v>
      </c>
      <c r="K12" s="81">
        <v>133327</v>
      </c>
      <c r="L12" s="85">
        <f>(J12-K12)-E8</f>
        <v>1</v>
      </c>
      <c r="M12" s="40"/>
      <c r="N12" s="40"/>
      <c r="O12" s="40"/>
      <c r="P12" s="40"/>
      <c r="Q12" s="40"/>
      <c r="R12" s="40"/>
      <c r="S12" s="137">
        <f>SUM((S10-U1)*0.6-W2/T2)*X12</f>
        <v>-1829.6352517278715</v>
      </c>
      <c r="T12" s="90">
        <f>SUM(T9+T8)/2*(T9/T8)</f>
        <v>94999.363920890333</v>
      </c>
      <c r="U12" s="90">
        <v>1.5</v>
      </c>
      <c r="V12" s="90">
        <v>0</v>
      </c>
      <c r="W12" s="169">
        <v>-39548</v>
      </c>
      <c r="X12" s="98">
        <v>-1</v>
      </c>
      <c r="Y12" s="161">
        <f>SUM((U1+W1+Y1)/3)/((V1+X1+Z1)/3)</f>
        <v>1.0051389811793061</v>
      </c>
      <c r="Z12" s="170"/>
      <c r="AA12" s="38">
        <f>(AB11+AC11+AC10)/3</f>
        <v>131353.34387339928</v>
      </c>
      <c r="AB12" s="171">
        <v>134320</v>
      </c>
      <c r="AC12" s="171">
        <v>133327</v>
      </c>
      <c r="AD12" s="85">
        <f>(AB12-AC12)-W8</f>
        <v>1</v>
      </c>
      <c r="AE12" s="40"/>
      <c r="AF12" s="40"/>
      <c r="AG12" s="40"/>
      <c r="AH12" s="40"/>
      <c r="AI12" s="40"/>
      <c r="AJ12" s="40"/>
    </row>
    <row r="13" spans="1:36" ht="59.25" customHeight="1" thickBot="1" x14ac:dyDescent="0.95">
      <c r="A13" s="90">
        <f>(K4+A9)/2</f>
        <v>134755.30987863644</v>
      </c>
      <c r="B13" s="88">
        <f>SUM(B9+B8)/2*(B8/B9)</f>
        <v>148887.31335353994</v>
      </c>
      <c r="C13" s="96">
        <v>1</v>
      </c>
      <c r="D13" s="96">
        <v>0</v>
      </c>
      <c r="E13" s="97">
        <v>-39751</v>
      </c>
      <c r="F13" s="99">
        <f>(A9*2+A1+B4)/4</f>
        <v>134452.06977202714</v>
      </c>
      <c r="G13" s="6">
        <f>SUM(H17*G12)</f>
        <v>132912.32023321185</v>
      </c>
      <c r="H13" s="68">
        <v>45</v>
      </c>
      <c r="I13" s="77">
        <v>133997</v>
      </c>
      <c r="J13" s="134">
        <v>132212</v>
      </c>
      <c r="K13" s="46" t="s">
        <v>0</v>
      </c>
      <c r="L13" s="38">
        <v>0.5</v>
      </c>
      <c r="M13" s="65">
        <f>D1</f>
        <v>131288</v>
      </c>
      <c r="N13" s="65">
        <f>C1</f>
        <v>132366</v>
      </c>
      <c r="O13" s="66">
        <f>B1</f>
        <v>135390.76761845552</v>
      </c>
      <c r="P13" s="66">
        <f>A1</f>
        <v>134744.45802689408</v>
      </c>
      <c r="Q13" s="40"/>
      <c r="R13" s="40"/>
      <c r="S13" s="90">
        <f>(AC4+S9)/2</f>
        <v>134755.30987863644</v>
      </c>
      <c r="T13" s="90">
        <f>SUM(T9+T8)/2*(T8/T9)</f>
        <v>148887.31335353994</v>
      </c>
      <c r="U13" s="90">
        <v>1</v>
      </c>
      <c r="V13" s="90">
        <v>0</v>
      </c>
      <c r="W13" s="169">
        <v>-39751</v>
      </c>
      <c r="X13" s="99">
        <f>(S9*2+S1+T4)/4</f>
        <v>134452.06977202714</v>
      </c>
      <c r="Y13" s="172">
        <f>SUM(Z17*Y12)</f>
        <v>132912.32023321185</v>
      </c>
      <c r="Z13" s="68">
        <v>45</v>
      </c>
      <c r="AA13" s="173">
        <v>133997</v>
      </c>
      <c r="AB13" s="174">
        <v>132212</v>
      </c>
      <c r="AC13" s="46" t="s">
        <v>0</v>
      </c>
      <c r="AD13" s="38">
        <v>0.5</v>
      </c>
      <c r="AE13" s="65">
        <f>V1</f>
        <v>131288</v>
      </c>
      <c r="AF13" s="65">
        <f>U1</f>
        <v>132366</v>
      </c>
      <c r="AG13" s="66">
        <f>T1</f>
        <v>135390.76761845552</v>
      </c>
      <c r="AH13" s="66">
        <f>S1</f>
        <v>134744.45802689408</v>
      </c>
      <c r="AI13" s="40"/>
      <c r="AJ13" s="40"/>
    </row>
    <row r="14" spans="1:36" ht="60" customHeight="1" x14ac:dyDescent="0.9">
      <c r="A14" s="88">
        <v>3</v>
      </c>
      <c r="B14" s="88">
        <f>SUM(C14+B11)/2</f>
        <v>0.24281876543696743</v>
      </c>
      <c r="C14" s="107">
        <f>SUM(C13+B11)/2*(C11/B13)</f>
        <v>0.45685258532495715</v>
      </c>
      <c r="D14" s="96">
        <v>0</v>
      </c>
      <c r="E14" s="97">
        <v>-39786</v>
      </c>
      <c r="F14" s="99">
        <f>(A10*2+B4+B1)/4</f>
        <v>134951.82717485438</v>
      </c>
      <c r="G14" s="7">
        <f>SUM(G15*G17)/H14</f>
        <v>63.190203756824353</v>
      </c>
      <c r="H14" s="29">
        <v>45</v>
      </c>
      <c r="I14" s="77">
        <v>134142</v>
      </c>
      <c r="J14" s="134">
        <v>133356</v>
      </c>
      <c r="K14" s="47" t="s">
        <v>1</v>
      </c>
      <c r="L14" s="38">
        <v>2</v>
      </c>
      <c r="M14" s="40"/>
      <c r="N14" s="40"/>
      <c r="O14" s="40"/>
      <c r="P14" s="40"/>
      <c r="Q14" s="40"/>
      <c r="R14" s="40"/>
      <c r="S14" s="90">
        <v>3</v>
      </c>
      <c r="T14" s="90">
        <f>SUM(U14+T11)/2</f>
        <v>0.24281876543696743</v>
      </c>
      <c r="U14" s="90">
        <f>SUM(U13+T11)/2*(U11/T13)</f>
        <v>0.45685258532495715</v>
      </c>
      <c r="V14" s="90">
        <v>0</v>
      </c>
      <c r="W14" s="169">
        <v>-39786</v>
      </c>
      <c r="X14" s="99">
        <f>(S10*2+T4+T1)/4</f>
        <v>134951.82717485438</v>
      </c>
      <c r="Y14" s="175">
        <f>SUM(Y15*Y17)/Z14</f>
        <v>63.190203756824353</v>
      </c>
      <c r="Z14" s="176">
        <v>45</v>
      </c>
      <c r="AA14" s="173">
        <v>134142</v>
      </c>
      <c r="AB14" s="174">
        <v>133356</v>
      </c>
      <c r="AC14" s="47" t="s">
        <v>1</v>
      </c>
      <c r="AD14" s="38">
        <v>2</v>
      </c>
      <c r="AE14" s="40"/>
      <c r="AF14" s="40"/>
      <c r="AG14" s="40"/>
      <c r="AH14" s="40"/>
      <c r="AI14" s="40"/>
      <c r="AJ14" s="40"/>
    </row>
    <row r="15" spans="1:36" ht="63" customHeight="1" x14ac:dyDescent="0.9">
      <c r="A15" s="88">
        <f>SUM((C5-B11)+C11)/2</f>
        <v>132232.78707614579</v>
      </c>
      <c r="B15" s="88"/>
      <c r="C15" s="102">
        <f>SUM(C9*-1)</f>
        <v>-0.8680217351276287</v>
      </c>
      <c r="D15" s="100">
        <f>SUM(C8*-1+C6)/-2</f>
        <v>0.3061058514308086</v>
      </c>
      <c r="E15" s="100">
        <v>0</v>
      </c>
      <c r="F15" s="100">
        <f>SUM(D4+F4)/(F4+H4)*((D4+F4+H4)/3)</f>
        <v>0.81446714417987687</v>
      </c>
      <c r="G15" s="7">
        <f>SUM(D2+F2)/(F2+H2)*(D2+F2+H2)/3*F15/H14</f>
        <v>2.1199772254128627E-2</v>
      </c>
      <c r="H15" s="10">
        <f>SUM(H18/H17)*H16</f>
        <v>132232.82163964826</v>
      </c>
      <c r="I15" s="48">
        <f>(J14+I12+Q21)/3</f>
        <v>132599.16800988311</v>
      </c>
      <c r="J15" s="48">
        <v>1</v>
      </c>
      <c r="K15" s="48">
        <f>(B4+B1+A1+B1)/4</f>
        <v>134777.93753074348</v>
      </c>
      <c r="L15" s="49"/>
      <c r="M15" s="40"/>
      <c r="N15" s="40"/>
      <c r="O15" s="40"/>
      <c r="P15" s="40"/>
      <c r="Q15" s="40"/>
      <c r="R15" s="40"/>
      <c r="S15" s="90">
        <f>SUM((U5-T11)+U11)/2</f>
        <v>132232.78707614579</v>
      </c>
      <c r="T15" s="90"/>
      <c r="U15" s="177">
        <f>SUM(U9*-1)</f>
        <v>-0.8680217351276287</v>
      </c>
      <c r="V15" s="178">
        <f>SUM(U8*-1+U6)/-2</f>
        <v>0.3061058514308086</v>
      </c>
      <c r="W15" s="178">
        <v>0</v>
      </c>
      <c r="X15" s="178">
        <f>SUM(V4+X4)/(X4+Z4)*((V4+X4+Z4)/3)</f>
        <v>0.81446714417987687</v>
      </c>
      <c r="Y15" s="175">
        <f>SUM(V2+X2)/(X2+Z2)*(V2+X2+Z2)/3*X15/Z14</f>
        <v>2.1199772254128627E-2</v>
      </c>
      <c r="Z15" s="179">
        <f>SUM(Z18/Z17)*Z16</f>
        <v>132232.82163964826</v>
      </c>
      <c r="AA15" s="180">
        <f>(AB14+AA12+AI21)/3</f>
        <v>132599.16800988311</v>
      </c>
      <c r="AB15" s="180">
        <v>1</v>
      </c>
      <c r="AC15" s="180">
        <f>(T4+T1+S1+T1)/4</f>
        <v>134777.93753074348</v>
      </c>
      <c r="AD15" s="49"/>
      <c r="AE15" s="40"/>
      <c r="AF15" s="40"/>
      <c r="AG15" s="40"/>
      <c r="AH15" s="40"/>
      <c r="AI15" s="40"/>
      <c r="AJ15" s="40"/>
    </row>
    <row r="16" spans="1:36" ht="61.5" x14ac:dyDescent="0.9">
      <c r="A16" s="107">
        <f>SUM(D1-D6)</f>
        <v>131287.5626611925</v>
      </c>
      <c r="B16" s="107">
        <f>SUM(F1-F6)</f>
        <v>132047.91865424614</v>
      </c>
      <c r="C16" s="102">
        <f>SUM(H1-H6)</f>
        <v>132598.76936177703</v>
      </c>
      <c r="D16" s="101">
        <f>SUM(A18-B18)</f>
        <v>0.259246692963643</v>
      </c>
      <c r="E16" s="101">
        <v>1.8</v>
      </c>
      <c r="F16" s="102">
        <f>SUM(E16/D2)*(D2+E16)/2</f>
        <v>2.52</v>
      </c>
      <c r="G16" s="27">
        <f>SUM(H17/H18)*H16</f>
        <v>132232.76984009266</v>
      </c>
      <c r="H16" s="27">
        <f>SUM(H17+(F15*G15))</f>
        <v>132232.79573986793</v>
      </c>
      <c r="I16" s="48">
        <f>(I14+J11+Q22)/3</f>
        <v>132642.42026041666</v>
      </c>
      <c r="J16" s="48">
        <f>(B4+B1+A1)/3</f>
        <v>134573.66083483945</v>
      </c>
      <c r="K16" s="48">
        <f>(A1+B1+B4*2)/4</f>
        <v>134326.68484092178</v>
      </c>
      <c r="L16" s="40"/>
      <c r="M16" s="40"/>
      <c r="N16" s="40"/>
      <c r="O16" s="40"/>
      <c r="P16" s="40"/>
      <c r="Q16" s="40"/>
      <c r="R16" s="40"/>
      <c r="S16" s="90">
        <f>SUM(V1-V6)</f>
        <v>131287.5626611925</v>
      </c>
      <c r="T16" s="90">
        <f>SUM(X1-X6)</f>
        <v>132047.91865424614</v>
      </c>
      <c r="U16" s="177">
        <f>SUM(Z1-Z6)</f>
        <v>132598.76936177703</v>
      </c>
      <c r="V16" s="151">
        <f>SUM(S18-T18)</f>
        <v>0.259246692963643</v>
      </c>
      <c r="W16" s="151">
        <v>1.8</v>
      </c>
      <c r="X16" s="177">
        <f>SUM(W16/V2)*(V2+W16)/2</f>
        <v>2.52</v>
      </c>
      <c r="Y16" s="181">
        <f>SUM(Z17/Z18)*Z16</f>
        <v>132232.76984009266</v>
      </c>
      <c r="Z16" s="181">
        <f>SUM(Z17+(X15*Y15))</f>
        <v>132232.79573986793</v>
      </c>
      <c r="AA16" s="180">
        <f>(AA14+AB11+AI22)/3</f>
        <v>132642.42026041666</v>
      </c>
      <c r="AB16" s="180">
        <f>(T4+T1+S1)/3</f>
        <v>134573.66083483945</v>
      </c>
      <c r="AC16" s="180">
        <f>(S1+T1+T4*2)/4</f>
        <v>134326.68484092178</v>
      </c>
      <c r="AD16" s="40"/>
      <c r="AE16" s="40"/>
      <c r="AF16" s="40"/>
      <c r="AG16" s="40"/>
      <c r="AH16" s="40"/>
      <c r="AI16" s="40"/>
      <c r="AJ16" s="40"/>
    </row>
    <row r="17" spans="1:36" ht="62.25" thickBot="1" x14ac:dyDescent="0.95">
      <c r="A17" s="107">
        <f>SUM(A16+D5)</f>
        <v>131288.04859320083</v>
      </c>
      <c r="B17" s="107">
        <f>SUM(B16+F5)</f>
        <v>132048.07845319383</v>
      </c>
      <c r="C17" s="102">
        <f>SUM(C16+H5)</f>
        <v>132598.90137089984</v>
      </c>
      <c r="D17" s="101"/>
      <c r="E17" s="102">
        <f>SUM(A7)</f>
        <v>134129.0704232564</v>
      </c>
      <c r="F17" s="102">
        <f>SUM(A18/B18)*A18</f>
        <v>131978.60205296703</v>
      </c>
      <c r="G17" s="26">
        <f>SUM(E17+F16)</f>
        <v>134131.59042325639</v>
      </c>
      <c r="H17" s="27">
        <f>SUM(((E18-F15*G15)+E18))/2</f>
        <v>132232.77847334996</v>
      </c>
      <c r="I17" s="48">
        <f>(B4+A1+B1+A1)/4</f>
        <v>134616.36013285309</v>
      </c>
      <c r="J17" s="48">
        <f>(J16+I16)/2</f>
        <v>133608.04054762807</v>
      </c>
      <c r="K17" s="48">
        <f>(K16+K15)/2</f>
        <v>134552.31118583263</v>
      </c>
      <c r="L17" s="40"/>
      <c r="M17" s="40"/>
      <c r="N17" s="40"/>
      <c r="O17" s="40"/>
      <c r="P17" s="40"/>
      <c r="Q17" s="40"/>
      <c r="R17" s="40"/>
      <c r="S17" s="90">
        <f>SUM(S16+V5)</f>
        <v>131288.04859320083</v>
      </c>
      <c r="T17" s="90">
        <f>SUM(T16+X5)</f>
        <v>132048.07845319383</v>
      </c>
      <c r="U17" s="177">
        <f>SUM(U16+Z5)</f>
        <v>132598.90137089984</v>
      </c>
      <c r="V17" s="151"/>
      <c r="W17" s="177">
        <f>SUM(S7)</f>
        <v>134129.0704232564</v>
      </c>
      <c r="X17" s="177">
        <f>SUM(S18/T18)*S18</f>
        <v>131978.60205296703</v>
      </c>
      <c r="Y17" s="182">
        <f>SUM(W17+X16)</f>
        <v>134131.59042325639</v>
      </c>
      <c r="Z17" s="181">
        <f>SUM(((W18-X15*Y15)+W18))/2</f>
        <v>132232.77847334996</v>
      </c>
      <c r="AA17" s="180">
        <f>(T4+S1+T1+S1)/4</f>
        <v>134616.36013285309</v>
      </c>
      <c r="AB17" s="180">
        <f>(AB16+AA16)/2</f>
        <v>133608.04054762807</v>
      </c>
      <c r="AC17" s="180">
        <f>(AC16+AC15)/2</f>
        <v>134552.31118583263</v>
      </c>
      <c r="AD17" s="40"/>
      <c r="AE17" s="40"/>
      <c r="AF17" s="40"/>
      <c r="AG17" s="40"/>
      <c r="AH17" s="40"/>
      <c r="AI17" s="40"/>
      <c r="AJ17" s="40"/>
    </row>
    <row r="18" spans="1:36" ht="62.25" thickBot="1" x14ac:dyDescent="0.95">
      <c r="A18" s="107">
        <f>SUM(A17+B17+C17)/3</f>
        <v>131978.34280576484</v>
      </c>
      <c r="B18" s="107">
        <f>SUM(A16+B16+C16)/3</f>
        <v>131978.08355907188</v>
      </c>
      <c r="C18" s="101"/>
      <c r="D18" s="101">
        <f>SUM(F18+F17)/2</f>
        <v>131978.21318292757</v>
      </c>
      <c r="E18" s="102">
        <f>SUM(A5)</f>
        <v>132232.78710660894</v>
      </c>
      <c r="F18" s="103">
        <f>SUM(B18/A18)*B18</f>
        <v>131977.82431288814</v>
      </c>
      <c r="G18" s="26">
        <f>SUM(E18+F16)</f>
        <v>132235.30710660893</v>
      </c>
      <c r="H18" s="27">
        <f>SUM(E18+(F15*G15))</f>
        <v>132232.80437312691</v>
      </c>
      <c r="I18" s="48">
        <f>(A1+I17)/2</f>
        <v>134680.40907987359</v>
      </c>
      <c r="J18" s="48">
        <f>(B4+B1+B3)/3</f>
        <v>134989.51806981597</v>
      </c>
      <c r="K18" s="69">
        <v>45</v>
      </c>
      <c r="L18" s="84">
        <f>(C1+D1)/2</f>
        <v>131827</v>
      </c>
      <c r="M18" s="40"/>
      <c r="N18" s="40"/>
      <c r="O18" s="40"/>
      <c r="P18" s="40"/>
      <c r="Q18" s="40"/>
      <c r="R18" s="40"/>
      <c r="S18" s="90">
        <f>SUM(S17+T17+U17)/3</f>
        <v>131978.34280576484</v>
      </c>
      <c r="T18" s="90">
        <f>SUM(S16+T16+U16)/3</f>
        <v>131978.08355907188</v>
      </c>
      <c r="U18" s="151"/>
      <c r="V18" s="151">
        <f>SUM(X18+X17)/2</f>
        <v>131978.21318292757</v>
      </c>
      <c r="W18" s="177">
        <f>SUM(S5)</f>
        <v>132232.78710660894</v>
      </c>
      <c r="X18" s="183">
        <f>SUM(T18/S18)*T18</f>
        <v>131977.82431288814</v>
      </c>
      <c r="Y18" s="182">
        <f>SUM(W18+X16)</f>
        <v>132235.30710660893</v>
      </c>
      <c r="Z18" s="181">
        <f>SUM(W18+(X15*Y15))</f>
        <v>132232.80437312691</v>
      </c>
      <c r="AA18" s="180">
        <f>(S1+AA17)/2</f>
        <v>134680.40907987359</v>
      </c>
      <c r="AB18" s="180">
        <f>(T4+T1+T3)/3</f>
        <v>134989.51806981597</v>
      </c>
      <c r="AC18" s="184">
        <v>45</v>
      </c>
      <c r="AD18" s="84">
        <f>(U1+V1)/2</f>
        <v>131827</v>
      </c>
      <c r="AE18" s="40"/>
      <c r="AF18" s="40"/>
      <c r="AG18" s="40"/>
      <c r="AH18" s="40"/>
      <c r="AI18" s="40"/>
      <c r="AJ18" s="40"/>
    </row>
    <row r="19" spans="1:36" ht="61.5" x14ac:dyDescent="0.9">
      <c r="A19" s="109">
        <f>SUM(H1)</f>
        <v>132599.16800988311</v>
      </c>
      <c r="B19" s="109">
        <f>SUM(G1)</f>
        <v>132642.42026041666</v>
      </c>
      <c r="C19" s="104">
        <f>SUM(F1)</f>
        <v>132048.11267548261</v>
      </c>
      <c r="D19" s="104">
        <f>SUM(E1)</f>
        <v>132961.56438061449</v>
      </c>
      <c r="E19" s="104">
        <f>SUM(D1)</f>
        <v>131288</v>
      </c>
      <c r="F19" s="104">
        <f>SUM(C1)</f>
        <v>132366</v>
      </c>
      <c r="G19" s="50">
        <f>SUM(A23)</f>
        <v>132366</v>
      </c>
      <c r="H19" s="50">
        <f>SUM(B23)</f>
        <v>132048.11267548261</v>
      </c>
      <c r="I19" s="51">
        <f>((I13*100)^L13)</f>
        <v>3660.5600664379213</v>
      </c>
      <c r="J19" s="51">
        <f>INT(I19)+1</f>
        <v>3661</v>
      </c>
      <c r="K19" s="52">
        <f>(J19+K18/360)^L14/100</f>
        <v>134038.36265625001</v>
      </c>
      <c r="L19" s="53">
        <f>INT(J19)+1</f>
        <v>3662</v>
      </c>
      <c r="M19" s="52">
        <f>(L19+K18/360)^L14/100</f>
        <v>134111.59515625</v>
      </c>
      <c r="N19" s="52">
        <f>(K19+M19)/2</f>
        <v>134074.97890625001</v>
      </c>
      <c r="O19" s="52">
        <f>((O20+L18)/2*100)^L13</f>
        <v>3646.307261934669</v>
      </c>
      <c r="P19" s="52">
        <f>INT(O19)+1</f>
        <v>3647</v>
      </c>
      <c r="Q19" s="53">
        <f>(P19+K18/360)^L14/100</f>
        <v>133015.20765624999</v>
      </c>
      <c r="R19" s="52">
        <f>INT(Q20)+1</f>
        <v>3635</v>
      </c>
      <c r="S19" s="185">
        <f>SUM(Z1)</f>
        <v>132599.16800988311</v>
      </c>
      <c r="T19" s="185">
        <f>SUM(Y1)</f>
        <v>132642.42026041666</v>
      </c>
      <c r="U19" s="186">
        <f>SUM(X1)</f>
        <v>132048.11267548261</v>
      </c>
      <c r="V19" s="186">
        <f>SUM(W1)</f>
        <v>132961.56438061449</v>
      </c>
      <c r="W19" s="186">
        <f>SUM(V1)</f>
        <v>131288</v>
      </c>
      <c r="X19" s="186">
        <f>SUM(U1)</f>
        <v>132366</v>
      </c>
      <c r="Y19" s="187">
        <f>SUM(S23)</f>
        <v>132366</v>
      </c>
      <c r="Z19" s="187">
        <f>SUM(T23)</f>
        <v>132048.11267548261</v>
      </c>
      <c r="AA19" s="53">
        <f>((AA13*100)^AD13)</f>
        <v>3660.5600664379213</v>
      </c>
      <c r="AB19" s="53">
        <f>INT(AA19)+1</f>
        <v>3661</v>
      </c>
      <c r="AC19" s="52">
        <f>(AB19+AC18/360)^AD14/100</f>
        <v>134038.36265625001</v>
      </c>
      <c r="AD19" s="53">
        <f>INT(AB19)+1</f>
        <v>3662</v>
      </c>
      <c r="AE19" s="52">
        <f>(AD19+AC18/360)^AD14/100</f>
        <v>134111.59515625</v>
      </c>
      <c r="AF19" s="52">
        <f>(AC19+AE19)/2</f>
        <v>134074.97890625001</v>
      </c>
      <c r="AG19" s="52">
        <f>((AG20+AD18)/2*100)^AD13</f>
        <v>3646.307261934669</v>
      </c>
      <c r="AH19" s="52">
        <f>INT(AG19)+1</f>
        <v>3647</v>
      </c>
      <c r="AI19" s="53">
        <f>(AH19+AC18/360)^AD14/100</f>
        <v>133015.20765624999</v>
      </c>
      <c r="AJ19" s="52">
        <f>INT(AI20)+1</f>
        <v>3635</v>
      </c>
    </row>
    <row r="20" spans="1:36" ht="61.5" x14ac:dyDescent="0.9">
      <c r="A20" s="109">
        <f t="shared" ref="A20:F20" si="0">SUM(A19)</f>
        <v>132599.16800988311</v>
      </c>
      <c r="B20" s="109">
        <f t="shared" si="0"/>
        <v>132642.42026041666</v>
      </c>
      <c r="C20" s="104">
        <f t="shared" si="0"/>
        <v>132048.11267548261</v>
      </c>
      <c r="D20" s="104">
        <f t="shared" si="0"/>
        <v>132961.56438061449</v>
      </c>
      <c r="E20" s="104">
        <f t="shared" si="0"/>
        <v>131288</v>
      </c>
      <c r="F20" s="104">
        <f t="shared" si="0"/>
        <v>132366</v>
      </c>
      <c r="G20" s="50">
        <f>SUM(H17)</f>
        <v>132232.77847334996</v>
      </c>
      <c r="H20" s="50">
        <f>SUM(G13)</f>
        <v>132912.32023321185</v>
      </c>
      <c r="I20" s="51">
        <f>(J13*100)^L13</f>
        <v>3636.096808392208</v>
      </c>
      <c r="J20" s="51">
        <f>INT(I20)+1</f>
        <v>3637</v>
      </c>
      <c r="K20" s="52">
        <f>(J20-K18/360)^L14/100</f>
        <v>132268.59765625</v>
      </c>
      <c r="L20" s="54">
        <f>INT(J20)+1</f>
        <v>3638</v>
      </c>
      <c r="M20" s="52">
        <f>(L20-K18/360)^L14/100</f>
        <v>132341.34515625</v>
      </c>
      <c r="N20" s="52">
        <f>(N19+M19)/2</f>
        <v>134093.28703125002</v>
      </c>
      <c r="O20" s="52">
        <f>(N19+N20)/2</f>
        <v>134084.13296875003</v>
      </c>
      <c r="P20" s="52">
        <f>(K20+M20)/2</f>
        <v>132304.97140625</v>
      </c>
      <c r="Q20" s="52">
        <f>((P20+L18)/2*100)^L13</f>
        <v>3634.0884098096049</v>
      </c>
      <c r="R20" s="52">
        <f>(R19+K18/360)^L14/100</f>
        <v>132141.33765624999</v>
      </c>
      <c r="S20" s="185">
        <f t="shared" ref="S20:X20" si="1">SUM(S19)</f>
        <v>132599.16800988311</v>
      </c>
      <c r="T20" s="185">
        <f t="shared" si="1"/>
        <v>132642.42026041666</v>
      </c>
      <c r="U20" s="186">
        <f t="shared" si="1"/>
        <v>132048.11267548261</v>
      </c>
      <c r="V20" s="186">
        <f t="shared" si="1"/>
        <v>132961.56438061449</v>
      </c>
      <c r="W20" s="186">
        <f t="shared" si="1"/>
        <v>131288</v>
      </c>
      <c r="X20" s="186">
        <f t="shared" si="1"/>
        <v>132366</v>
      </c>
      <c r="Y20" s="187">
        <f>SUM(Z17)</f>
        <v>132232.77847334996</v>
      </c>
      <c r="Z20" s="187">
        <f>SUM(Y13)</f>
        <v>132912.32023321185</v>
      </c>
      <c r="AA20" s="53">
        <f>(AB13*100)^AD13</f>
        <v>3636.096808392208</v>
      </c>
      <c r="AB20" s="53">
        <f>INT(AA20)+1</f>
        <v>3637</v>
      </c>
      <c r="AC20" s="52">
        <f>(AB20-AC18/360)^AD14/100</f>
        <v>132268.59765625</v>
      </c>
      <c r="AD20" s="54">
        <f>INT(AB20)+1</f>
        <v>3638</v>
      </c>
      <c r="AE20" s="52">
        <f>(AD20-AC18/360)^AD14/100</f>
        <v>132341.34515625</v>
      </c>
      <c r="AF20" s="52">
        <f>(AF19+AE19)/2</f>
        <v>134093.28703125002</v>
      </c>
      <c r="AG20" s="52">
        <f>(AF19+AF20)/2</f>
        <v>134084.13296875003</v>
      </c>
      <c r="AH20" s="52">
        <f>(AC20+AE20)/2</f>
        <v>132304.97140625</v>
      </c>
      <c r="AI20" s="52">
        <f>((AH20+AD18)/2*100)^AD13</f>
        <v>3634.0884098096049</v>
      </c>
      <c r="AJ20" s="52">
        <f>(AJ19+AC18/360)^AD14/100</f>
        <v>132141.33765624999</v>
      </c>
    </row>
    <row r="21" spans="1:36" ht="61.5" x14ac:dyDescent="0.9">
      <c r="A21" s="109">
        <f>SUM(C1)</f>
        <v>132366</v>
      </c>
      <c r="B21" s="109">
        <f>SUM(A10+A7)/2</f>
        <v>134772.23126707651</v>
      </c>
      <c r="C21" s="104">
        <f>SUM((A22/B22)*(B21+B21))/2</f>
        <v>133947.56104443868</v>
      </c>
      <c r="D21" s="104">
        <f>SUM(B21/C21)*(C21+B21)/2</f>
        <v>135187.1049874257</v>
      </c>
      <c r="E21" s="104">
        <f>SUM(C21/D21)*(C21+D21)/2</f>
        <v>133333.47182348094</v>
      </c>
      <c r="F21" s="104">
        <f>SUM(D21+E21)/2</f>
        <v>134260.28840545332</v>
      </c>
      <c r="G21" s="50">
        <f>SUM(E21/F21)*(F21+E21)/2</f>
        <v>132873.26250140363</v>
      </c>
      <c r="H21" s="50">
        <f>SUM(E21/G21)*(G21+E21)/2</f>
        <v>133564.37345682291</v>
      </c>
      <c r="I21" s="52">
        <f>(I14*100)^L13</f>
        <v>3662.5401021695311</v>
      </c>
      <c r="J21" s="52">
        <f>INT(I21)+1</f>
        <v>3663</v>
      </c>
      <c r="K21" s="52">
        <f>(J21+K18/360)^L14/100</f>
        <v>134184.84765625</v>
      </c>
      <c r="L21" s="52">
        <f>INT(J21)+1</f>
        <v>3664</v>
      </c>
      <c r="M21" s="52">
        <f>(L21+K18/360)^L14/100</f>
        <v>134258.12015624999</v>
      </c>
      <c r="N21" s="52">
        <f>(K21+M21)/2</f>
        <v>134221.48390624998</v>
      </c>
      <c r="O21" s="52">
        <f>((N21+L18)/2*100)^L13</f>
        <v>3647.2488529455322</v>
      </c>
      <c r="P21" s="52">
        <f>INT(O21)+1</f>
        <v>3648</v>
      </c>
      <c r="Q21" s="52">
        <f>(P21+K18/360)^L14/100</f>
        <v>133088.16015625</v>
      </c>
      <c r="R21" s="52"/>
      <c r="S21" s="185">
        <f>SUM(U1)</f>
        <v>132366</v>
      </c>
      <c r="T21" s="185">
        <f>SUM(S10+S7)/2</f>
        <v>134772.23126707651</v>
      </c>
      <c r="U21" s="186">
        <f>SUM((S22/T22)*(T21+T21))/2</f>
        <v>133947.56104443868</v>
      </c>
      <c r="V21" s="186">
        <f>SUM(T21/U21)*(U21+T21)/2</f>
        <v>135187.1049874257</v>
      </c>
      <c r="W21" s="186">
        <f>SUM(U21/V21)*(U21+V21)/2</f>
        <v>133333.47182348094</v>
      </c>
      <c r="X21" s="186">
        <f>SUM(V21+W21)/2</f>
        <v>134260.28840545332</v>
      </c>
      <c r="Y21" s="187">
        <f>SUM(W21/X21)*(X21+W21)/2</f>
        <v>132873.26250140363</v>
      </c>
      <c r="Z21" s="187">
        <f>SUM(W21/Y21)*(Y21+W21)/2</f>
        <v>133564.37345682291</v>
      </c>
      <c r="AA21" s="52">
        <f>(AA14*100)^AD13</f>
        <v>3662.5401021695311</v>
      </c>
      <c r="AB21" s="52">
        <f>INT(AA21)+1</f>
        <v>3663</v>
      </c>
      <c r="AC21" s="52">
        <f>(AB21+AC18/360)^AD14/100</f>
        <v>134184.84765625</v>
      </c>
      <c r="AD21" s="52">
        <f>INT(AB21)+1</f>
        <v>3664</v>
      </c>
      <c r="AE21" s="52">
        <f>(AD21+AC18/360)^AD14/100</f>
        <v>134258.12015624999</v>
      </c>
      <c r="AF21" s="52">
        <f>(AC21+AE21)/2</f>
        <v>134221.48390624998</v>
      </c>
      <c r="AG21" s="52">
        <f>((AF21+AD18)/2*100)^AD13</f>
        <v>3647.2488529455322</v>
      </c>
      <c r="AH21" s="52">
        <f>INT(AG21)+1</f>
        <v>3648</v>
      </c>
      <c r="AI21" s="52">
        <f>(AH21+AC18/360)^AD14/100</f>
        <v>133088.16015625</v>
      </c>
      <c r="AJ21" s="52"/>
    </row>
    <row r="22" spans="1:36" ht="61.5" x14ac:dyDescent="0.9">
      <c r="A22" s="108">
        <f>SUM(A21)</f>
        <v>132366</v>
      </c>
      <c r="B22" s="108">
        <f>SUM(H16+E17)/2</f>
        <v>133180.93308156217</v>
      </c>
      <c r="C22" s="105">
        <f>SUM(A22/B22)*(A22+B22)/2</f>
        <v>131961.02674377573</v>
      </c>
      <c r="D22" s="105">
        <f>SUM(B22/C22)*(B22+A22)/2</f>
        <v>134000.88343287201</v>
      </c>
      <c r="E22" s="105">
        <f>SUM(C22/D22)*(D22+A22)/2</f>
        <v>131156.02870614617</v>
      </c>
      <c r="F22" s="105">
        <f>SUM(D22/A22)*(E22+A22)/2</f>
        <v>133388.42546668422</v>
      </c>
      <c r="G22" s="55">
        <f>SUM(E22/F22)*(A22+F22)/2</f>
        <v>130653.37166004504</v>
      </c>
      <c r="H22" s="55">
        <f>SUM(A22/G22)*(G22+A22)/2</f>
        <v>133233.53889305025</v>
      </c>
      <c r="I22" s="52">
        <f>(J14*100)^L13</f>
        <v>3651.7940796271632</v>
      </c>
      <c r="J22" s="52">
        <f>INT(I22)+1</f>
        <v>3652</v>
      </c>
      <c r="K22" s="52">
        <f>(J22+K18/360)^L14/100</f>
        <v>133380.17015625001</v>
      </c>
      <c r="L22" s="52">
        <f>INT(I22)+1</f>
        <v>3652</v>
      </c>
      <c r="M22" s="52">
        <f>(L22+K18/360)^L14/100</f>
        <v>133380.17015625001</v>
      </c>
      <c r="N22" s="52">
        <f>(K22+M22)/2</f>
        <v>133380.17015625001</v>
      </c>
      <c r="O22" s="52">
        <f>((N22+L18)/2*100)^L13</f>
        <v>3641.4775171367596</v>
      </c>
      <c r="P22" s="52">
        <f>INT(O22)+1</f>
        <v>3642</v>
      </c>
      <c r="Q22" s="52">
        <f>(P22+K18/360)^L14/100</f>
        <v>132650.74515624999</v>
      </c>
      <c r="R22" s="52"/>
      <c r="S22" s="162">
        <f>SUM(S21)</f>
        <v>132366</v>
      </c>
      <c r="T22" s="162">
        <f>SUM(Z16+W17)/2</f>
        <v>133180.93308156217</v>
      </c>
      <c r="U22" s="188">
        <f>SUM(S22/T22)*(S22+T22)/2</f>
        <v>131961.02674377573</v>
      </c>
      <c r="V22" s="188">
        <f>SUM(T22/U22)*(T22+S22)/2</f>
        <v>134000.88343287201</v>
      </c>
      <c r="W22" s="188">
        <f>SUM(U22/V22)*(V22+S22)/2</f>
        <v>131156.02870614617</v>
      </c>
      <c r="X22" s="188">
        <f>SUM(V22/S22)*(W22+S22)/2</f>
        <v>133388.42546668422</v>
      </c>
      <c r="Y22" s="189">
        <f>SUM(W22/X22)*(S22+X22)/2</f>
        <v>130653.37166004504</v>
      </c>
      <c r="Z22" s="189">
        <f>SUM(S22/Y22)*(Y22+S22)/2</f>
        <v>133233.53889305025</v>
      </c>
      <c r="AA22" s="52">
        <f>(AB14*100)^AD13</f>
        <v>3651.7940796271632</v>
      </c>
      <c r="AB22" s="52">
        <f>INT(AA22)+1</f>
        <v>3652</v>
      </c>
      <c r="AC22" s="52">
        <f>(AB22+AC18/360)^AD14/100</f>
        <v>133380.17015625001</v>
      </c>
      <c r="AD22" s="52">
        <f>INT(AA22)+1</f>
        <v>3652</v>
      </c>
      <c r="AE22" s="52">
        <f>(AD22+AC18/360)^AD14/100</f>
        <v>133380.17015625001</v>
      </c>
      <c r="AF22" s="52">
        <f>(AC22+AE22)/2</f>
        <v>133380.17015625001</v>
      </c>
      <c r="AG22" s="52">
        <f>((AF22+AD18)/2*100)^AD13</f>
        <v>3641.4775171367596</v>
      </c>
      <c r="AH22" s="52">
        <f>INT(AG22)+1</f>
        <v>3642</v>
      </c>
      <c r="AI22" s="52">
        <f>(AH22+AC18/360)^AD14/100</f>
        <v>132650.74515624999</v>
      </c>
      <c r="AJ22" s="52"/>
    </row>
    <row r="23" spans="1:36" ht="61.5" x14ac:dyDescent="0.9">
      <c r="A23" s="13">
        <f>SUM(A22)</f>
        <v>132366</v>
      </c>
      <c r="B23" s="13">
        <f>SUM(C20)</f>
        <v>132048.11267548261</v>
      </c>
      <c r="C23" s="13">
        <f>SUM(B4+A9)/2</f>
        <v>134162.39448009583</v>
      </c>
      <c r="D23" s="13">
        <f>SUM(A9)</f>
        <v>134739.03210102289</v>
      </c>
      <c r="E23" s="13">
        <f>SUM(A10)</f>
        <v>135415.39211089662</v>
      </c>
      <c r="F23" s="13">
        <f>SUM(((A23/B23)+(C23/B23))/2)*(B23+C23)/2</f>
        <v>134331.07378118965</v>
      </c>
      <c r="G23" s="13">
        <f>SUM(((D23/F23)+(E23/C23))/2*(D23+E23+F23)/3)</f>
        <v>135662.84315072137</v>
      </c>
      <c r="H23" s="13">
        <f>SUM(((G23/E23)+(E23/B23))/2*(B23+D23+G23)/3)</f>
        <v>135983.004484251</v>
      </c>
      <c r="I23" s="67"/>
      <c r="J23" s="40"/>
      <c r="K23" s="40"/>
      <c r="L23" s="40"/>
      <c r="M23" s="40"/>
      <c r="N23" s="40"/>
      <c r="O23" s="40"/>
      <c r="P23" s="40"/>
      <c r="Q23" s="40"/>
      <c r="R23" s="40"/>
      <c r="S23" s="190">
        <f>SUM(S22)</f>
        <v>132366</v>
      </c>
      <c r="T23" s="190">
        <f>SUM(U20)</f>
        <v>132048.11267548261</v>
      </c>
      <c r="U23" s="190">
        <f>SUM(T4+S9)/2</f>
        <v>134162.39448009583</v>
      </c>
      <c r="V23" s="190">
        <f>SUM(S9)</f>
        <v>134739.03210102289</v>
      </c>
      <c r="W23" s="190">
        <f>SUM(S10)</f>
        <v>135415.39211089662</v>
      </c>
      <c r="X23" s="190">
        <f>SUM(((S23/T23)+(U23/T23))/2)*(T23+U23)/2</f>
        <v>134331.07378118965</v>
      </c>
      <c r="Y23" s="190">
        <f>SUM(((V23/X23)+(W23/U23))/2*(V23+W23+X23)/3)</f>
        <v>135662.84315072137</v>
      </c>
      <c r="Z23" s="190">
        <f>SUM(((Y23/W23)+(W23/T23))/2*(T23+V23+Y23)/3)</f>
        <v>135983.004484251</v>
      </c>
      <c r="AA23" s="67"/>
      <c r="AB23" s="40"/>
      <c r="AC23" s="40"/>
      <c r="AD23" s="40"/>
      <c r="AE23" s="40"/>
      <c r="AF23" s="40"/>
      <c r="AG23" s="40"/>
      <c r="AH23" s="40"/>
      <c r="AI23" s="40"/>
      <c r="AJ23" s="40"/>
    </row>
    <row r="24" spans="1:36" ht="61.5" x14ac:dyDescent="0.9">
      <c r="A24" s="13">
        <f>SUM(D1)</f>
        <v>131288</v>
      </c>
      <c r="B24" s="13">
        <f>SUM(C1)</f>
        <v>132366</v>
      </c>
      <c r="C24" s="55">
        <f>SUM(A10)</f>
        <v>135415.39211089662</v>
      </c>
      <c r="D24" s="55">
        <f>SUM(A3)</f>
        <v>135341.51863357332</v>
      </c>
      <c r="E24" s="55">
        <f>SUM(B4)</f>
        <v>133585.75685916876</v>
      </c>
      <c r="F24" s="13">
        <f>SUM(A24)</f>
        <v>131288</v>
      </c>
      <c r="G24" s="13">
        <f>SUM(B24)</f>
        <v>132366</v>
      </c>
      <c r="H24" s="13">
        <f>SUM(C24)</f>
        <v>135415.39211089662</v>
      </c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190">
        <f>SUM(V1)</f>
        <v>131288</v>
      </c>
      <c r="T24" s="190">
        <f>SUM(U1)</f>
        <v>132366</v>
      </c>
      <c r="U24" s="189">
        <f>SUM(S10)</f>
        <v>135415.39211089662</v>
      </c>
      <c r="V24" s="189">
        <f>SUM(S3)</f>
        <v>135341.51863357332</v>
      </c>
      <c r="W24" s="189">
        <f>SUM(T4)</f>
        <v>133585.75685916876</v>
      </c>
      <c r="X24" s="190">
        <f>SUM(S24)</f>
        <v>131288</v>
      </c>
      <c r="Y24" s="190">
        <f>SUM(T24)</f>
        <v>132366</v>
      </c>
      <c r="Z24" s="190">
        <f>SUM(U24)</f>
        <v>135415.39211089662</v>
      </c>
      <c r="AA24" s="40"/>
      <c r="AB24" s="40"/>
      <c r="AC24" s="40"/>
      <c r="AD24" s="40"/>
      <c r="AE24" s="40"/>
      <c r="AF24" s="40"/>
      <c r="AG24" s="40"/>
      <c r="AH24" s="40"/>
      <c r="AI24" s="40"/>
      <c r="AJ24" s="40"/>
    </row>
    <row r="25" spans="1:36" ht="61.5" x14ac:dyDescent="0.9">
      <c r="A25" s="56">
        <f>SUM(H1)</f>
        <v>132599.16800988311</v>
      </c>
      <c r="B25" s="56">
        <f>SUM(G1)</f>
        <v>132642.42026041666</v>
      </c>
      <c r="C25" s="56">
        <f>SUM(F1)</f>
        <v>132048.11267548261</v>
      </c>
      <c r="D25" s="56">
        <f>SUM(E1)</f>
        <v>132961.56438061449</v>
      </c>
      <c r="E25" s="56">
        <f>SUM(D1)</f>
        <v>131288</v>
      </c>
      <c r="F25" s="56">
        <f>SUM(C1)</f>
        <v>132366</v>
      </c>
      <c r="G25" s="57">
        <f>SUM(A10)</f>
        <v>135415.39211089662</v>
      </c>
      <c r="H25" s="57">
        <f>SUM(A9)</f>
        <v>134739.03210102289</v>
      </c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191">
        <f>SUM(Z1)</f>
        <v>132599.16800988311</v>
      </c>
      <c r="T25" s="191">
        <f>SUM(Y1)</f>
        <v>132642.42026041666</v>
      </c>
      <c r="U25" s="191">
        <f>SUM(X1)</f>
        <v>132048.11267548261</v>
      </c>
      <c r="V25" s="191">
        <f>SUM(W1)</f>
        <v>132961.56438061449</v>
      </c>
      <c r="W25" s="191">
        <f>SUM(V1)</f>
        <v>131288</v>
      </c>
      <c r="X25" s="191">
        <f>SUM(U1)</f>
        <v>132366</v>
      </c>
      <c r="Y25" s="192">
        <f>SUM(S10)</f>
        <v>135415.39211089662</v>
      </c>
      <c r="Z25" s="192">
        <f>SUM(S9)</f>
        <v>134739.03210102289</v>
      </c>
      <c r="AA25" s="52"/>
      <c r="AB25" s="52"/>
      <c r="AC25" s="52"/>
      <c r="AD25" s="52"/>
      <c r="AE25" s="52"/>
      <c r="AF25" s="52"/>
      <c r="AG25" s="52"/>
      <c r="AH25" s="52"/>
      <c r="AI25" s="52"/>
      <c r="AJ25" s="52"/>
    </row>
    <row r="26" spans="1:36" ht="62.25" thickBot="1" x14ac:dyDescent="0.9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</row>
    <row r="27" spans="1:36" ht="62.25" thickBot="1" x14ac:dyDescent="0.95">
      <c r="A27" s="120">
        <f>(A39+A35*2)/3</f>
        <v>130524.28783148818</v>
      </c>
      <c r="B27" s="121">
        <f>(A29+A36*2)/3</f>
        <v>130236.62236441951</v>
      </c>
      <c r="C27" s="78">
        <f>C1</f>
        <v>132366</v>
      </c>
      <c r="D27" s="79">
        <f>D1</f>
        <v>131288</v>
      </c>
      <c r="E27" s="59">
        <f>(I39+K35+Q45)/3</f>
        <v>132961.56438061449</v>
      </c>
      <c r="F27" s="59">
        <f>(J39+K37+R46)/3</f>
        <v>132048.11267548261</v>
      </c>
      <c r="G27" s="59">
        <f>G1</f>
        <v>132642.42026041666</v>
      </c>
      <c r="H27" s="60">
        <f>H1</f>
        <v>132599.16800988311</v>
      </c>
      <c r="I27" s="34">
        <f>((D28+F28+H28)^0.5)*10000</f>
        <v>13053.565280927956</v>
      </c>
      <c r="J27" s="34">
        <f>INT(I27/3)</f>
        <v>4351</v>
      </c>
      <c r="K27" s="34">
        <f>(J27)/30000</f>
        <v>0.14503333333333332</v>
      </c>
      <c r="L27" s="35"/>
      <c r="M27" s="35"/>
      <c r="N27" s="35"/>
      <c r="O27" s="35"/>
      <c r="P27" s="35"/>
      <c r="Q27" s="35"/>
      <c r="R27" s="35"/>
      <c r="S27" s="193">
        <f>(S39+S35*2)/3</f>
        <v>130524.28783148818</v>
      </c>
      <c r="T27" s="194">
        <f>(S29+S36*2)/3</f>
        <v>130236.62236441951</v>
      </c>
      <c r="U27" s="141">
        <f>U1</f>
        <v>132366</v>
      </c>
      <c r="V27" s="142">
        <f>V1</f>
        <v>131288</v>
      </c>
      <c r="W27" s="144">
        <f>(AA39+AC35+AI45)/3</f>
        <v>132961.56438061449</v>
      </c>
      <c r="X27" s="144">
        <f>(AB39+AC37+AJ46)/3</f>
        <v>132048.11267548261</v>
      </c>
      <c r="Y27" s="144">
        <f>Y1</f>
        <v>132642.42026041666</v>
      </c>
      <c r="Z27" s="145">
        <f>Z1</f>
        <v>132599.16800988311</v>
      </c>
      <c r="AA27" s="38">
        <f>((V28+X28+Z28)^0.5)*10000</f>
        <v>13053.565280927956</v>
      </c>
      <c r="AB27" s="38">
        <f>INT(AA27/3)</f>
        <v>4351</v>
      </c>
      <c r="AC27" s="38">
        <f>(AB27)/30000</f>
        <v>0.14503333333333332</v>
      </c>
      <c r="AD27" s="40"/>
      <c r="AE27" s="40"/>
      <c r="AF27" s="40"/>
      <c r="AG27" s="40"/>
      <c r="AH27" s="40"/>
      <c r="AI27" s="40"/>
      <c r="AJ27" s="40"/>
    </row>
    <row r="28" spans="1:36" ht="61.5" x14ac:dyDescent="0.9">
      <c r="A28" s="122">
        <f>(J30+45/360)^2/100</f>
        <v>130546.72265625</v>
      </c>
      <c r="B28" s="30">
        <f>(A27+A29)/2</f>
        <v>130366.65465631994</v>
      </c>
      <c r="C28" s="20">
        <f>SUM((D28+F28+H28)/3)+((D33+F33+H33)/3)</f>
        <v>1.3047189019683476</v>
      </c>
      <c r="D28" s="62">
        <f>SUM(C27-D27)-D38-E35</f>
        <v>1</v>
      </c>
      <c r="E28" s="19">
        <v>2</v>
      </c>
      <c r="F28" s="61">
        <f>SUM(E27-F27)-D38-E36</f>
        <v>0.45170513188350014</v>
      </c>
      <c r="G28" s="14">
        <f>SUM(H34+H36)/2</f>
        <v>132621.05565496706</v>
      </c>
      <c r="H28" s="63">
        <f>SUM(G27-H27)-D38-E37</f>
        <v>0.25225053355097771</v>
      </c>
      <c r="I28" s="34">
        <f>SUM((D30+F30+H30)^0.5)*10000</f>
        <v>14866.744904216812</v>
      </c>
      <c r="J28" s="34">
        <f>INT(I28/3)</f>
        <v>4955</v>
      </c>
      <c r="K28" s="34">
        <f>J28/10000</f>
        <v>0.4955</v>
      </c>
      <c r="L28" s="35"/>
      <c r="M28" s="35"/>
      <c r="N28" s="35"/>
      <c r="O28" s="35"/>
      <c r="P28" s="35"/>
      <c r="Q28" s="35"/>
      <c r="R28" s="35"/>
      <c r="S28" s="122">
        <f>(AB30+45/360)^2/100</f>
        <v>130546.72265625</v>
      </c>
      <c r="T28" s="30">
        <f>(S27+S29)/2</f>
        <v>130366.65465631994</v>
      </c>
      <c r="U28" s="195">
        <f>SUM((V28+X28+Z28)/3)+((V33+X33+Z33)/3)</f>
        <v>1.3047189019683476</v>
      </c>
      <c r="V28" s="146">
        <f>SUM(U27-V27)-V38-W35</f>
        <v>1</v>
      </c>
      <c r="W28" s="154">
        <v>2</v>
      </c>
      <c r="X28" s="148">
        <f>SUM(W27-X27)-V38-W36</f>
        <v>0.45170513188350014</v>
      </c>
      <c r="Y28" s="149">
        <f>SUM(Z34+Z36)/2</f>
        <v>132621.05565496706</v>
      </c>
      <c r="Z28" s="150">
        <f>SUM(Y27-Z27)-V38-W37</f>
        <v>0.25225053355097771</v>
      </c>
      <c r="AA28" s="38">
        <f>SUM((V30+X30+Z30)^0.5)*10000</f>
        <v>14866.744904216812</v>
      </c>
      <c r="AB28" s="38">
        <f>INT(AA28/3)</f>
        <v>4955</v>
      </c>
      <c r="AC28" s="38">
        <f>AB28/10000</f>
        <v>0.4955</v>
      </c>
      <c r="AD28" s="40"/>
      <c r="AE28" s="40"/>
      <c r="AF28" s="40"/>
      <c r="AG28" s="40"/>
      <c r="AH28" s="40"/>
      <c r="AI28" s="40"/>
      <c r="AJ28" s="40"/>
    </row>
    <row r="29" spans="1:36" ht="62.25" thickBot="1" x14ac:dyDescent="0.95">
      <c r="A29" s="32">
        <f>(A36+K31)/2</f>
        <v>130209.02148115171</v>
      </c>
      <c r="B29" s="31">
        <f>SUM((A36-A38)+A35)/2</f>
        <v>129750.43867043997</v>
      </c>
      <c r="C29" s="20">
        <f>SUM(D34+D36)/2</f>
        <v>131827.45713540792</v>
      </c>
      <c r="D29" s="1">
        <f>SUM(C27+D27)/2</f>
        <v>131827</v>
      </c>
      <c r="E29" s="1">
        <f>SUM(D35+D37)/2</f>
        <v>131827.01979660042</v>
      </c>
      <c r="F29" s="2">
        <f>SUM(E27+F27)/2</f>
        <v>132504.83852804854</v>
      </c>
      <c r="G29" s="1">
        <f>SUM(H35+H37)/2</f>
        <v>132620.65700686097</v>
      </c>
      <c r="H29" s="1">
        <f>SUM(G27+H27)/2</f>
        <v>132620.79413514989</v>
      </c>
      <c r="I29" s="34">
        <f>K28*K27</f>
        <v>7.1864016666666655E-2</v>
      </c>
      <c r="J29" s="34"/>
      <c r="K29" s="34"/>
      <c r="L29" s="35"/>
      <c r="M29" s="35"/>
      <c r="N29" s="35"/>
      <c r="O29" s="35"/>
      <c r="P29" s="35"/>
      <c r="Q29" s="35"/>
      <c r="R29" s="35"/>
      <c r="S29" s="32">
        <f>(S36+AC31)/2</f>
        <v>130209.02148115171</v>
      </c>
      <c r="T29" s="31">
        <f>SUM((S36-S38)+S35)/2</f>
        <v>129750.43867043997</v>
      </c>
      <c r="U29" s="195">
        <f>SUM(V34+V36)/2</f>
        <v>131827.45713540792</v>
      </c>
      <c r="V29" s="149">
        <f>SUM(U27+V27)/2</f>
        <v>131827</v>
      </c>
      <c r="W29" s="149">
        <f>SUM(V35+V37)/2</f>
        <v>131827.01979660042</v>
      </c>
      <c r="X29" s="196">
        <f>SUM(W27+X27)/2</f>
        <v>132504.83852804854</v>
      </c>
      <c r="Y29" s="149">
        <f>SUM(Z35+Z37)/2</f>
        <v>132620.65700686097</v>
      </c>
      <c r="Z29" s="149">
        <f>SUM(Y27+Z27)/2</f>
        <v>132620.79413514989</v>
      </c>
      <c r="AA29" s="38">
        <f>AC28*AC27</f>
        <v>7.1864016666666655E-2</v>
      </c>
      <c r="AB29" s="38"/>
      <c r="AC29" s="38"/>
      <c r="AD29" s="40"/>
      <c r="AE29" s="40"/>
      <c r="AF29" s="40"/>
      <c r="AG29" s="40"/>
      <c r="AH29" s="40"/>
      <c r="AI29" s="40"/>
      <c r="AJ29" s="40"/>
    </row>
    <row r="30" spans="1:36" ht="62.25" thickBot="1" x14ac:dyDescent="0.95">
      <c r="A30" s="33">
        <f>(B27+A36+B29)/3</f>
        <v>130079.16128030431</v>
      </c>
      <c r="B30" s="123">
        <f>SUM(A36+A38)</f>
        <v>131519.76913776272</v>
      </c>
      <c r="C30" s="20">
        <f>SUM(C29+E30+G28+F44)/4</f>
        <v>132232.83744979894</v>
      </c>
      <c r="D30" s="64">
        <f>SUM((((D29*0.6)-2)/-2)-D39-E38)</f>
        <v>0.90000000000145519</v>
      </c>
      <c r="E30" s="19">
        <f>SUM(F36+F34)/2</f>
        <v>132505.0126959327</v>
      </c>
      <c r="F30" s="64">
        <f>SUM((((F29*0.6)-2)/-2)-D39-E39)</f>
        <v>0.54844158543710364</v>
      </c>
      <c r="G30" s="19"/>
      <c r="H30" s="64">
        <f>SUM((((H29*0.6)-2)/-2)-D39-E40)</f>
        <v>0.76175945503200637</v>
      </c>
      <c r="I30" s="34">
        <f>((A35*100))^0.5</f>
        <v>3612.7524253197289</v>
      </c>
      <c r="J30" s="36">
        <f>INT(I30)+J41</f>
        <v>3613</v>
      </c>
      <c r="K30" s="34">
        <f>((J30)+45/360)^2/100</f>
        <v>130546.72265625</v>
      </c>
      <c r="L30" s="35"/>
      <c r="M30" s="35"/>
      <c r="N30" s="35"/>
      <c r="O30" s="35"/>
      <c r="P30" s="35"/>
      <c r="Q30" s="35"/>
      <c r="R30" s="35"/>
      <c r="S30" s="122">
        <f>(T27+S36+T29)/3</f>
        <v>130079.16128030431</v>
      </c>
      <c r="T30" s="118">
        <f>SUM(S36+S38)</f>
        <v>131519.76913776272</v>
      </c>
      <c r="U30" s="195">
        <f>SUM(U29+W30+Y28+X44)/4</f>
        <v>132232.83744979894</v>
      </c>
      <c r="V30" s="153">
        <f>SUM((((V29*0.6)-2)/-2)-V39-W38)</f>
        <v>0.90000000000145519</v>
      </c>
      <c r="W30" s="154">
        <f>SUM(X36+X34)/2</f>
        <v>132505.0126959327</v>
      </c>
      <c r="X30" s="153">
        <f>SUM((((X29*0.6)-2)/-2)-V39-W39)</f>
        <v>0.54844158543710364</v>
      </c>
      <c r="Y30" s="154"/>
      <c r="Z30" s="153">
        <f>SUM((((Z29*0.6)-2)/-2)-V39-W40)</f>
        <v>0.76175945503200637</v>
      </c>
      <c r="AA30" s="38">
        <f>((S35*100))^0.5</f>
        <v>3612.7524253197289</v>
      </c>
      <c r="AB30" s="155">
        <f>INT(AA30)+AB41</f>
        <v>3613</v>
      </c>
      <c r="AC30" s="38">
        <f>((AB30)+45/360)^2/100</f>
        <v>130546.72265625</v>
      </c>
      <c r="AD30" s="40"/>
      <c r="AE30" s="40"/>
      <c r="AF30" s="40"/>
      <c r="AG30" s="40"/>
      <c r="AH30" s="40"/>
      <c r="AI30" s="40"/>
      <c r="AJ30" s="40"/>
    </row>
    <row r="31" spans="1:36" ht="61.5" x14ac:dyDescent="0.9">
      <c r="A31" s="111">
        <f>SUM((C31-B37)/2+C37/2+A32)</f>
        <v>132233.05468491864</v>
      </c>
      <c r="B31" s="111">
        <f>SUM(C36-C37)</f>
        <v>5.7569891097955406E-2</v>
      </c>
      <c r="C31" s="111">
        <f>SUM(E29+E31+H29+F43)/4</f>
        <v>132232.80866485339</v>
      </c>
      <c r="D31" s="17">
        <f>SUM(((D30*D28)+I29)/2)</f>
        <v>0.48593200833406092</v>
      </c>
      <c r="E31" s="8">
        <f>SUM(F35+F37)/2</f>
        <v>132504.81867469623</v>
      </c>
      <c r="F31" s="17">
        <f>SUM(((F30*F28)+I29)/2)</f>
        <v>0.15979894767346473</v>
      </c>
      <c r="G31" s="9"/>
      <c r="H31" s="18">
        <f>SUM(((H30*H28)+I29)/2)</f>
        <v>0.13200912281799615</v>
      </c>
      <c r="I31" s="34">
        <f>(A36*100)^0.5</f>
        <v>3609.0223441543471</v>
      </c>
      <c r="J31" s="34">
        <f>INT(I31)-J41</f>
        <v>3608</v>
      </c>
      <c r="K31" s="34">
        <f>(J31-45/360)^2/100</f>
        <v>130167.62015625001</v>
      </c>
      <c r="L31" s="35"/>
      <c r="M31" s="35"/>
      <c r="N31" s="35"/>
      <c r="O31" s="35"/>
      <c r="P31" s="35"/>
      <c r="Q31" s="35"/>
      <c r="R31" s="35"/>
      <c r="S31" s="32">
        <f>SUM((U31-T37)/2+U37/2+S32)</f>
        <v>132233.05468491864</v>
      </c>
      <c r="T31" s="32">
        <f>SUM(U36-U37)</f>
        <v>5.7569891097955406E-2</v>
      </c>
      <c r="U31" s="32">
        <f>SUM(W29+W31+Z29+X43)/4</f>
        <v>132232.80866485339</v>
      </c>
      <c r="V31" s="197">
        <f>SUM(((V30*V28)+AA29)/2)</f>
        <v>0.48593200833406092</v>
      </c>
      <c r="W31" s="198">
        <f>SUM(X35+X37)/2</f>
        <v>132504.81867469623</v>
      </c>
      <c r="X31" s="197">
        <f>SUM(((X30*X28)+AA29)/2)</f>
        <v>0.15979894767346473</v>
      </c>
      <c r="Y31" s="199"/>
      <c r="Z31" s="157">
        <f>SUM(((Z30*Z28)+AA29)/2)</f>
        <v>0.13200912281799615</v>
      </c>
      <c r="AA31" s="38">
        <f>(S36*100)^0.5</f>
        <v>3609.0223441543471</v>
      </c>
      <c r="AB31" s="38">
        <f>INT(AA31)-AB41</f>
        <v>3608</v>
      </c>
      <c r="AC31" s="38">
        <f>(AB31-45/360)^2/100</f>
        <v>130167.62015625001</v>
      </c>
      <c r="AD31" s="40"/>
      <c r="AE31" s="40"/>
      <c r="AF31" s="40"/>
      <c r="AG31" s="40"/>
      <c r="AH31" s="40"/>
      <c r="AI31" s="40"/>
      <c r="AJ31" s="40"/>
    </row>
    <row r="32" spans="1:36" ht="62.25" thickBot="1" x14ac:dyDescent="0.95">
      <c r="A32" s="111">
        <f>SUM(((A40+B37)/2)*(B35/(C30*C31)))*3.33</f>
        <v>0.26760877283427531</v>
      </c>
      <c r="B32" s="124">
        <f>SUM(C36-B40)</f>
        <v>132232.6090235094</v>
      </c>
      <c r="C32" s="112">
        <f>SUM(((C30-C31)-2)/2+C33)</f>
        <v>-0.98560752722551115</v>
      </c>
      <c r="D32" s="4">
        <f>SUM(D31*D30)/D28</f>
        <v>0.43733880750136195</v>
      </c>
      <c r="E32" s="4"/>
      <c r="F32" s="1">
        <f>SUM(F31*F30)/F28</f>
        <v>0.19402123648181002</v>
      </c>
      <c r="G32" s="4"/>
      <c r="H32" s="1">
        <f>SUM(H31*H30)/H28</f>
        <v>0.39864810607731688</v>
      </c>
      <c r="I32" s="34">
        <f>(A35+B34)/2</f>
        <v>131376.3047656946</v>
      </c>
      <c r="J32" s="37"/>
      <c r="K32" s="37"/>
      <c r="L32" s="35"/>
      <c r="M32" s="35"/>
      <c r="N32" s="35"/>
      <c r="O32" s="35"/>
      <c r="P32" s="35"/>
      <c r="Q32" s="35"/>
      <c r="R32" s="35"/>
      <c r="S32" s="32">
        <f>SUM(((S40+T37)/2)*(T35/(U30*U31)))*3.33</f>
        <v>0.26760877283427531</v>
      </c>
      <c r="T32" s="200">
        <f>SUM(U36-T40)</f>
        <v>132232.6090235094</v>
      </c>
      <c r="U32" s="201">
        <f>SUM(((U30-U31)-2)/2+U33)</f>
        <v>-0.98560752722551115</v>
      </c>
      <c r="V32" s="161">
        <f>SUM(V31*V30)/V28</f>
        <v>0.43733880750136195</v>
      </c>
      <c r="W32" s="161"/>
      <c r="X32" s="149">
        <f>SUM(X31*X30)/X28</f>
        <v>0.19402123648181002</v>
      </c>
      <c r="Y32" s="161"/>
      <c r="Z32" s="149">
        <f>SUM(Z31*Z30)/Z28</f>
        <v>0.39864810607731688</v>
      </c>
      <c r="AA32" s="38">
        <f>(S35+T34)/2</f>
        <v>131376.3047656946</v>
      </c>
      <c r="AB32" s="38"/>
      <c r="AC32" s="38"/>
      <c r="AD32" s="40"/>
      <c r="AE32" s="40"/>
      <c r="AF32" s="40"/>
      <c r="AG32" s="40"/>
      <c r="AH32" s="40"/>
      <c r="AI32" s="40"/>
      <c r="AJ32" s="40"/>
    </row>
    <row r="33" spans="1:36" ht="62.25" thickBot="1" x14ac:dyDescent="0.95">
      <c r="A33" s="107">
        <f>SUM(A35+A36+A34)/3+A37*-1</f>
        <v>131000.95000758176</v>
      </c>
      <c r="B33" s="88">
        <f>SUM(C37+B40)</f>
        <v>132233.03709114916</v>
      </c>
      <c r="C33" s="111">
        <f>SUM(E41)</f>
        <v>0</v>
      </c>
      <c r="D33" s="4">
        <f>SUM(D30)</f>
        <v>0.90000000000145519</v>
      </c>
      <c r="E33" s="74">
        <f t="shared" ref="E33:E40" si="2">E7</f>
        <v>-40147</v>
      </c>
      <c r="F33" s="1">
        <f>SUM(F30)</f>
        <v>0.54844158543710364</v>
      </c>
      <c r="G33" s="4">
        <f>SUM((C27+E27+G27+G34)/4+(D27+F27+H27+H43)/4)/2*G38</f>
        <v>133061.66790132338</v>
      </c>
      <c r="H33" s="1">
        <f>SUM(H30)</f>
        <v>0.76175945503200637</v>
      </c>
      <c r="I33" s="38">
        <f>(A36+B38)/2</f>
        <v>112624.89336347187</v>
      </c>
      <c r="J33" s="37"/>
      <c r="K33" s="39">
        <f>H39</f>
        <v>45</v>
      </c>
      <c r="L33" s="40"/>
      <c r="M33" s="40"/>
      <c r="N33" s="40"/>
      <c r="O33" s="40"/>
      <c r="P33" s="40"/>
      <c r="Q33" s="40"/>
      <c r="R33" s="40"/>
      <c r="S33" s="90">
        <f>SUM(S35+S36+S34)/3+S37*-1</f>
        <v>131000.95000758176</v>
      </c>
      <c r="T33" s="90">
        <f>SUM(U37+T40)</f>
        <v>132233.03709114916</v>
      </c>
      <c r="U33" s="32">
        <f>SUM(W41)</f>
        <v>0</v>
      </c>
      <c r="V33" s="161">
        <f>SUM(V30)</f>
        <v>0.90000000000145519</v>
      </c>
      <c r="W33" s="202">
        <f t="shared" ref="W33:W40" si="3">W7</f>
        <v>-40147</v>
      </c>
      <c r="X33" s="149">
        <f>SUM(X30)</f>
        <v>0.54844158543710364</v>
      </c>
      <c r="Y33" s="161">
        <f>SUM((U27+W27+Y27+Y34)/4+(V27+X27+Z27+Z43)/4)/2*Y38</f>
        <v>133061.66790132338</v>
      </c>
      <c r="Z33" s="149">
        <f>SUM(Z30)</f>
        <v>0.76175945503200637</v>
      </c>
      <c r="AA33" s="38">
        <f>(S36+T38)/2</f>
        <v>112624.89336347187</v>
      </c>
      <c r="AB33" s="38"/>
      <c r="AC33" s="42">
        <f>Z39</f>
        <v>45</v>
      </c>
      <c r="AD33" s="40"/>
      <c r="AE33" s="40"/>
      <c r="AF33" s="40"/>
      <c r="AG33" s="40"/>
      <c r="AH33" s="40"/>
      <c r="AI33" s="40"/>
      <c r="AJ33" s="40"/>
    </row>
    <row r="34" spans="1:36" ht="61.5" x14ac:dyDescent="0.9">
      <c r="A34" s="13">
        <f>SUM((C31-B37)/2+C37/2+A37)</f>
        <v>132232.86743914062</v>
      </c>
      <c r="B34" s="111">
        <f>SUM(C30-B37)</f>
        <v>132232.80866485339</v>
      </c>
      <c r="C34" s="111">
        <f>SUM((D32+F32+H32+M37)*C32)/4</f>
        <v>-0.3733958243638939</v>
      </c>
      <c r="D34" s="5">
        <f>SUM(C27+D31)</f>
        <v>132366.48593200833</v>
      </c>
      <c r="E34" s="72">
        <f t="shared" si="2"/>
        <v>992</v>
      </c>
      <c r="F34" s="3">
        <f>SUM(E27+F31)</f>
        <v>132961.72417956218</v>
      </c>
      <c r="G34" s="4">
        <f>SUM(H43/G35)*G36</f>
        <v>132912.58918660143</v>
      </c>
      <c r="H34" s="3">
        <f>SUM(G27+H31)</f>
        <v>132642.55226953948</v>
      </c>
      <c r="I34" s="41">
        <f>C27^0.5</f>
        <v>363.82138474806561</v>
      </c>
      <c r="J34" s="42">
        <f>INT(I34)</f>
        <v>363</v>
      </c>
      <c r="K34" s="38">
        <f>(I34+K33/360)^2</f>
        <v>132456.97097118699</v>
      </c>
      <c r="L34" s="40"/>
      <c r="M34" s="40"/>
      <c r="N34" s="40"/>
      <c r="O34" s="40"/>
      <c r="P34" s="40"/>
      <c r="Q34" s="40"/>
      <c r="R34" s="40"/>
      <c r="S34" s="190">
        <f>SUM((U31-T37)/2+U37/2+S37)</f>
        <v>132232.86743914062</v>
      </c>
      <c r="T34" s="32">
        <f>SUM(U30-T37)</f>
        <v>132232.80866485339</v>
      </c>
      <c r="U34" s="32">
        <f>SUM((V32+X32+Z32+AE37)*U32)/4</f>
        <v>-0.3733958243638939</v>
      </c>
      <c r="V34" s="151">
        <f>SUM(U27+V31)</f>
        <v>132366.48593200833</v>
      </c>
      <c r="W34" s="203">
        <f t="shared" si="3"/>
        <v>992</v>
      </c>
      <c r="X34" s="164">
        <f>SUM(W27+X31)</f>
        <v>132961.72417956218</v>
      </c>
      <c r="Y34" s="161">
        <f>SUM(Z43/Y35)*Y36</f>
        <v>132912.58918660143</v>
      </c>
      <c r="Z34" s="164">
        <f>SUM(Y27+Z31)</f>
        <v>132642.55226953948</v>
      </c>
      <c r="AA34" s="165">
        <f>U27^0.5</f>
        <v>363.82138474806561</v>
      </c>
      <c r="AB34" s="42">
        <f>INT(AA34)</f>
        <v>363</v>
      </c>
      <c r="AC34" s="38">
        <f>(AA34+AC33/360)^2</f>
        <v>132456.97097118699</v>
      </c>
      <c r="AD34" s="40"/>
      <c r="AE34" s="40"/>
      <c r="AF34" s="40"/>
      <c r="AG34" s="40"/>
      <c r="AH34" s="40"/>
      <c r="AI34" s="40"/>
      <c r="AJ34" s="40"/>
    </row>
    <row r="35" spans="1:36" ht="61.5" x14ac:dyDescent="0.9">
      <c r="A35" s="118">
        <f>SUM((B36++A42+B38+A36)/4)</f>
        <v>130519.80086653582</v>
      </c>
      <c r="B35" s="20">
        <f>SUM(C30+C31)/2^(C34*C41)/2</f>
        <v>105625.9735104245</v>
      </c>
      <c r="C35" s="113">
        <f>SUM(C34*C32)-2/2+C38</f>
        <v>0.8680217351276287</v>
      </c>
      <c r="D35" s="5">
        <f>SUM(D34-D32)</f>
        <v>132366.04859320083</v>
      </c>
      <c r="E35" s="73">
        <f t="shared" si="2"/>
        <v>1077</v>
      </c>
      <c r="F35" s="3">
        <f>SUM(F34-F32)</f>
        <v>132961.53015832571</v>
      </c>
      <c r="G35" s="4">
        <f>SUM(G37/G38)</f>
        <v>131895.01163668526</v>
      </c>
      <c r="H35" s="3">
        <f>SUM(H34-H32)</f>
        <v>132642.15362143339</v>
      </c>
      <c r="I35" s="42">
        <f>J34</f>
        <v>363</v>
      </c>
      <c r="J35" s="38">
        <f>(I35-K33/360)^2</f>
        <v>131678.265625</v>
      </c>
      <c r="K35" s="43">
        <f>(K34+D27)/2</f>
        <v>131872.4854855935</v>
      </c>
      <c r="L35" s="40"/>
      <c r="M35" s="40"/>
      <c r="N35" s="40"/>
      <c r="O35" s="40"/>
      <c r="P35" s="40"/>
      <c r="Q35" s="40"/>
      <c r="R35" s="40"/>
      <c r="S35" s="118">
        <f>SUM((T36++S42+T38+S36)/4)</f>
        <v>130519.80086653582</v>
      </c>
      <c r="T35" s="195">
        <f>SUM(U30+U31)/2^(U34*U41)/2</f>
        <v>105625.9735104245</v>
      </c>
      <c r="U35" s="204">
        <f>SUM(U34*U32)-2/2+U38</f>
        <v>0.8680217351276287</v>
      </c>
      <c r="V35" s="151">
        <f>SUM(V34-V32)</f>
        <v>132366.04859320083</v>
      </c>
      <c r="W35" s="205">
        <f t="shared" si="3"/>
        <v>1077</v>
      </c>
      <c r="X35" s="164">
        <f>SUM(X34-X32)</f>
        <v>132961.53015832571</v>
      </c>
      <c r="Y35" s="161">
        <f>SUM(Y37/Y38)</f>
        <v>131895.01163668526</v>
      </c>
      <c r="Z35" s="164">
        <f>SUM(Z34-Z32)</f>
        <v>132642.15362143339</v>
      </c>
      <c r="AA35" s="42">
        <f>AB34</f>
        <v>363</v>
      </c>
      <c r="AB35" s="38">
        <f>(AA35-AC33/360)^2</f>
        <v>131678.265625</v>
      </c>
      <c r="AC35" s="38">
        <f>(AC34+V27)/2</f>
        <v>131872.4854855935</v>
      </c>
      <c r="AD35" s="40"/>
      <c r="AE35" s="40"/>
      <c r="AF35" s="40"/>
      <c r="AG35" s="40"/>
      <c r="AH35" s="40"/>
      <c r="AI35" s="40"/>
      <c r="AJ35" s="40"/>
    </row>
    <row r="36" spans="1:36" ht="61.5" x14ac:dyDescent="0.9">
      <c r="A36" s="118">
        <f>(B32+B33+B34+B35+B36+B38+B39)/7</f>
        <v>130250.42280605341</v>
      </c>
      <c r="B36" s="20">
        <f>SUM(C30+C31)/2^(C34*C35)/2</f>
        <v>165541.85407800705</v>
      </c>
      <c r="C36" s="111">
        <f>SUM(C30+C31)/2*(C30/C31)</f>
        <v>132232.85184227483</v>
      </c>
      <c r="D36" s="5">
        <f>SUM(D37+D32)</f>
        <v>131288.42833880751</v>
      </c>
      <c r="E36" s="73">
        <f t="shared" si="2"/>
        <v>913</v>
      </c>
      <c r="F36" s="3">
        <f>SUM(F37+F32)</f>
        <v>132048.30121230322</v>
      </c>
      <c r="G36" s="4">
        <f>SUM(H43+G39+G37)/3</f>
        <v>132572.81761913054</v>
      </c>
      <c r="H36" s="3">
        <f>SUM(H37+H32)</f>
        <v>132599.55904039464</v>
      </c>
      <c r="I36" s="34">
        <f>(D27^0.5)</f>
        <v>362.3368598417776</v>
      </c>
      <c r="J36" s="38">
        <f>INT(I36)</f>
        <v>362</v>
      </c>
      <c r="K36" s="43">
        <f>(J36+K33/360)^2</f>
        <v>131134.515625</v>
      </c>
      <c r="L36" s="76">
        <f>SUM((((L37*0.6)-2)/-2))-E33</f>
        <v>0.95000000000436557</v>
      </c>
      <c r="M36" s="52">
        <f>SUM(((L38*L36)+I29)/2)</f>
        <v>0.51093200833551611</v>
      </c>
      <c r="N36" s="40"/>
      <c r="O36" s="40"/>
      <c r="P36" s="40"/>
      <c r="Q36" s="40"/>
      <c r="R36" s="40"/>
      <c r="S36" s="118">
        <f>(T32+T33+T34+T35+T36+T38+T39)/7</f>
        <v>130250.42280605341</v>
      </c>
      <c r="T36" s="195">
        <f>SUM(U30+U31)/2^(U34*U35)/2</f>
        <v>165541.85407800705</v>
      </c>
      <c r="U36" s="32">
        <f>SUM(U30+U31)/2*(U30/U31)</f>
        <v>132232.85184227483</v>
      </c>
      <c r="V36" s="151">
        <f>SUM(V37+V32)</f>
        <v>131288.42833880751</v>
      </c>
      <c r="W36" s="205">
        <f t="shared" si="3"/>
        <v>913</v>
      </c>
      <c r="X36" s="164">
        <f>SUM(X37+X32)</f>
        <v>132048.30121230322</v>
      </c>
      <c r="Y36" s="161">
        <f>SUM(Z43+Y39+Y37)/3</f>
        <v>132572.81761913054</v>
      </c>
      <c r="Z36" s="164">
        <f>SUM(Z37+Z32)</f>
        <v>132599.55904039464</v>
      </c>
      <c r="AA36" s="38">
        <f>(V27^0.5)</f>
        <v>362.3368598417776</v>
      </c>
      <c r="AB36" s="38">
        <f>INT(AA36)</f>
        <v>362</v>
      </c>
      <c r="AC36" s="38">
        <f>(AB36+AC33/360)^2</f>
        <v>131134.515625</v>
      </c>
      <c r="AD36" s="76">
        <f>SUM((((AD37*0.6)-2)/-2))-W33</f>
        <v>0.95000000000436557</v>
      </c>
      <c r="AE36" s="52">
        <f>SUM(((AD38*AD36)+AA29)/2)</f>
        <v>0.51093200833551611</v>
      </c>
      <c r="AF36" s="40"/>
      <c r="AG36" s="40"/>
      <c r="AH36" s="40"/>
      <c r="AI36" s="40"/>
      <c r="AJ36" s="40"/>
    </row>
    <row r="37" spans="1:36" ht="62.25" thickBot="1" x14ac:dyDescent="0.95">
      <c r="A37" s="111">
        <f>SUM(((A40+B37)/2)*(B35/(C30*C31)))</f>
        <v>8.0362994845127711E-2</v>
      </c>
      <c r="B37" s="20">
        <f>SUM(C30-C31)</f>
        <v>2.8784945548977703E-2</v>
      </c>
      <c r="C37" s="111">
        <f>SUM(C31+C30)/2*(C31/C30)</f>
        <v>132232.79427238373</v>
      </c>
      <c r="D37" s="5">
        <f>SUM(D27-(D33/100))</f>
        <v>131287.99100000001</v>
      </c>
      <c r="E37" s="73">
        <f t="shared" si="2"/>
        <v>43</v>
      </c>
      <c r="F37" s="3">
        <f>SUM(F27-(F33/100))</f>
        <v>132048.10719106675</v>
      </c>
      <c r="G37" s="4">
        <f>SUM(H43+G39)/2</f>
        <v>132572.81761913054</v>
      </c>
      <c r="H37" s="3">
        <f>SUM(H27-H33/100)</f>
        <v>132599.16039228856</v>
      </c>
      <c r="I37" s="44">
        <f>J36</f>
        <v>362</v>
      </c>
      <c r="J37" s="34">
        <f>(I37+K33/360)^2</f>
        <v>131134.515625</v>
      </c>
      <c r="K37" s="45">
        <f>(K35+K36+C27)/3</f>
        <v>131791.00037019784</v>
      </c>
      <c r="L37" s="52">
        <f>((J38+K38)/2)</f>
        <v>133823.5</v>
      </c>
      <c r="M37" s="52">
        <f>(M36*L36)/L38</f>
        <v>0.48538540792097079</v>
      </c>
      <c r="N37" s="40"/>
      <c r="O37" s="40"/>
      <c r="P37" s="40"/>
      <c r="Q37" s="40"/>
      <c r="R37" s="40"/>
      <c r="S37" s="32">
        <f>SUM(((S40+T37)/2)*(T35/(U30*U31)))</f>
        <v>8.0362994845127711E-2</v>
      </c>
      <c r="T37" s="195">
        <f>SUM(U30-U31)</f>
        <v>2.8784945548977703E-2</v>
      </c>
      <c r="U37" s="32">
        <f>SUM(U31+U30)/2*(U31/U30)</f>
        <v>132232.79427238373</v>
      </c>
      <c r="V37" s="151">
        <f>SUM(V27-(V33/100))</f>
        <v>131287.99100000001</v>
      </c>
      <c r="W37" s="205">
        <f t="shared" si="3"/>
        <v>43</v>
      </c>
      <c r="X37" s="164">
        <f>SUM(X27-(X33/100))</f>
        <v>132048.10719106675</v>
      </c>
      <c r="Y37" s="161">
        <f>SUM(Z43+Y39)/2</f>
        <v>132572.81761913054</v>
      </c>
      <c r="Z37" s="164">
        <f>SUM(Z27-Z33/100)</f>
        <v>132599.16039228856</v>
      </c>
      <c r="AA37" s="168">
        <f>AB36</f>
        <v>362</v>
      </c>
      <c r="AB37" s="38">
        <f>(AA37+AC33/360)^2</f>
        <v>131134.515625</v>
      </c>
      <c r="AC37" s="38">
        <f>(AC35+AC36+U27)/3</f>
        <v>131791.00037019784</v>
      </c>
      <c r="AD37" s="52">
        <f>((AB38+AC38)/2)</f>
        <v>133823.5</v>
      </c>
      <c r="AE37" s="52">
        <f>(AE36*AD36)/AD38</f>
        <v>0.48538540792097079</v>
      </c>
      <c r="AF37" s="40"/>
      <c r="AG37" s="40"/>
      <c r="AH37" s="40"/>
      <c r="AI37" s="40"/>
      <c r="AJ37" s="40"/>
    </row>
    <row r="38" spans="1:36" ht="62.25" thickBot="1" x14ac:dyDescent="0.95">
      <c r="A38" s="114">
        <f>SUM((A36-C27)*0.6-E28/B28)*F38</f>
        <v>1269.3463317093017</v>
      </c>
      <c r="B38" s="124">
        <f>SUM(B35+B34)/2*(B35/B34)</f>
        <v>94999.363920890333</v>
      </c>
      <c r="C38" s="96">
        <v>1.5</v>
      </c>
      <c r="D38" s="15">
        <v>0</v>
      </c>
      <c r="E38" s="25">
        <f t="shared" si="2"/>
        <v>-39548</v>
      </c>
      <c r="F38" s="24">
        <f>F12</f>
        <v>-1</v>
      </c>
      <c r="G38" s="4">
        <f>SUM((C27+E27+G27)/3)/((D27+F27+H27)/3)</f>
        <v>1.0051389811793061</v>
      </c>
      <c r="H38" s="80"/>
      <c r="I38" s="43">
        <f>(J37+K37+K36)/3</f>
        <v>131353.34387339928</v>
      </c>
      <c r="J38" s="81">
        <f>J12</f>
        <v>134320</v>
      </c>
      <c r="K38" s="81">
        <f>K12</f>
        <v>133327</v>
      </c>
      <c r="L38" s="75">
        <f>(J38-K38)-E34</f>
        <v>1</v>
      </c>
      <c r="M38" s="40"/>
      <c r="N38" s="40"/>
      <c r="O38" s="40"/>
      <c r="P38" s="40"/>
      <c r="Q38" s="40"/>
      <c r="R38" s="40"/>
      <c r="S38" s="114">
        <f>SUM((S36-U27)*0.6-W28/T28)*X38</f>
        <v>1269.3463317093017</v>
      </c>
      <c r="T38" s="200">
        <f>SUM(T35+T34)/2*(T35/T34)</f>
        <v>94999.363920890333</v>
      </c>
      <c r="U38" s="90">
        <v>1.5</v>
      </c>
      <c r="V38" s="206">
        <v>0</v>
      </c>
      <c r="W38" s="207">
        <f t="shared" si="3"/>
        <v>-39548</v>
      </c>
      <c r="X38" s="24">
        <f>X12</f>
        <v>-1</v>
      </c>
      <c r="Y38" s="161">
        <f>SUM((U27+W27+Y27)/3)/((V27+X27+Z27)/3)</f>
        <v>1.0051389811793061</v>
      </c>
      <c r="Z38" s="170"/>
      <c r="AA38" s="38">
        <f>(AB37+AC37+AC36)/3</f>
        <v>131353.34387339928</v>
      </c>
      <c r="AB38" s="171">
        <f>AB12</f>
        <v>134320</v>
      </c>
      <c r="AC38" s="171">
        <f>AC12</f>
        <v>133327</v>
      </c>
      <c r="AD38" s="75">
        <f>(AB38-AC38)-W34</f>
        <v>1</v>
      </c>
      <c r="AE38" s="40"/>
      <c r="AF38" s="40"/>
      <c r="AG38" s="40"/>
      <c r="AH38" s="40"/>
      <c r="AI38" s="40"/>
      <c r="AJ38" s="40"/>
    </row>
    <row r="39" spans="1:36" ht="93" thickBot="1" x14ac:dyDescent="1.4">
      <c r="A39" s="32">
        <f>(K30+A35)/2</f>
        <v>130533.2617613929</v>
      </c>
      <c r="B39" s="124">
        <f>SUM(B35+B34)/2*(B34/B35)</f>
        <v>148887.31335353994</v>
      </c>
      <c r="C39" s="115">
        <v>1</v>
      </c>
      <c r="D39" s="15">
        <v>0</v>
      </c>
      <c r="E39" s="25">
        <f t="shared" si="2"/>
        <v>-39751</v>
      </c>
      <c r="F39" s="135">
        <f>(A35*2+A27+B30)/4</f>
        <v>130770.91467558063</v>
      </c>
      <c r="G39" s="6">
        <f>SUM(H43*G38)</f>
        <v>132912.58918660146</v>
      </c>
      <c r="H39" s="68">
        <f>H13</f>
        <v>45</v>
      </c>
      <c r="I39" s="77">
        <f>I13</f>
        <v>133997</v>
      </c>
      <c r="J39" s="77">
        <f>J13</f>
        <v>132212</v>
      </c>
      <c r="K39" s="46" t="s">
        <v>0</v>
      </c>
      <c r="L39" s="38">
        <v>0.5</v>
      </c>
      <c r="M39" s="65">
        <f>D27</f>
        <v>131288</v>
      </c>
      <c r="N39" s="65">
        <f>C27</f>
        <v>132366</v>
      </c>
      <c r="O39" s="66">
        <f>B27</f>
        <v>130236.62236441951</v>
      </c>
      <c r="P39" s="66">
        <f>A27</f>
        <v>130524.28783148818</v>
      </c>
      <c r="Q39" s="40"/>
      <c r="R39" s="40"/>
      <c r="S39" s="32">
        <f>(AC30+S35)/2</f>
        <v>130533.2617613929</v>
      </c>
      <c r="T39" s="200">
        <f>SUM(T35+T34)/2*(T34/T35)</f>
        <v>148887.31335353994</v>
      </c>
      <c r="U39" s="32">
        <v>1</v>
      </c>
      <c r="V39" s="206">
        <v>0</v>
      </c>
      <c r="W39" s="207">
        <f t="shared" si="3"/>
        <v>-39751</v>
      </c>
      <c r="X39" s="71">
        <f>(S35*2+S27+T30)/4</f>
        <v>130770.91467558063</v>
      </c>
      <c r="Y39" s="172">
        <f>SUM(Z43*Y38)</f>
        <v>132912.58918660146</v>
      </c>
      <c r="Z39" s="68">
        <f>Z13</f>
        <v>45</v>
      </c>
      <c r="AA39" s="173">
        <f>AA13</f>
        <v>133997</v>
      </c>
      <c r="AB39" s="173">
        <f>AB13</f>
        <v>132212</v>
      </c>
      <c r="AC39" s="46" t="s">
        <v>0</v>
      </c>
      <c r="AD39" s="38">
        <v>0.5</v>
      </c>
      <c r="AE39" s="65">
        <f>V27</f>
        <v>131288</v>
      </c>
      <c r="AF39" s="65">
        <f>U27</f>
        <v>132366</v>
      </c>
      <c r="AG39" s="66">
        <f>T27</f>
        <v>130236.62236441951</v>
      </c>
      <c r="AH39" s="66">
        <f>S27</f>
        <v>130524.28783148818</v>
      </c>
      <c r="AI39" s="40"/>
      <c r="AJ39" s="40"/>
    </row>
    <row r="40" spans="1:36" ht="61.5" x14ac:dyDescent="0.9">
      <c r="A40" s="111">
        <f>SUM(C30+C31)/2-B35</f>
        <v>26606.849546901663</v>
      </c>
      <c r="B40" s="20">
        <f>SUM(C40+B37)/2</f>
        <v>0.24281876543696743</v>
      </c>
      <c r="C40" s="116">
        <f>SUM(C39+B37)/2*(C37/B39)</f>
        <v>0.45685258532495715</v>
      </c>
      <c r="D40" s="15">
        <v>0</v>
      </c>
      <c r="E40" s="25">
        <f t="shared" si="2"/>
        <v>-39786</v>
      </c>
      <c r="F40" s="71">
        <f>(A36*2+B30+B27)/4</f>
        <v>130564.30927857227</v>
      </c>
      <c r="G40" s="7">
        <f>SUM(G41*G43)/H40</f>
        <v>61.71652730358452</v>
      </c>
      <c r="H40" s="29">
        <v>45</v>
      </c>
      <c r="I40" s="77">
        <f>I14</f>
        <v>134142</v>
      </c>
      <c r="J40" s="77">
        <f>J14</f>
        <v>133356</v>
      </c>
      <c r="K40" s="47" t="s">
        <v>1</v>
      </c>
      <c r="L40" s="38">
        <v>2</v>
      </c>
      <c r="M40" s="40"/>
      <c r="N40" s="40"/>
      <c r="O40" s="40"/>
      <c r="P40" s="40"/>
      <c r="Q40" s="40"/>
      <c r="R40" s="40"/>
      <c r="S40" s="32">
        <f>SUM(U30+U31)/2-T35</f>
        <v>26606.849546901663</v>
      </c>
      <c r="T40" s="195">
        <f>SUM(U40+T37)/2</f>
        <v>0.24281876543696743</v>
      </c>
      <c r="U40" s="208">
        <f>SUM(U39+T37)/2*(U37/T39)</f>
        <v>0.45685258532495715</v>
      </c>
      <c r="V40" s="206">
        <v>0</v>
      </c>
      <c r="W40" s="207">
        <f t="shared" si="3"/>
        <v>-39786</v>
      </c>
      <c r="X40" s="71">
        <f>(S36*2+T30+T27)/4</f>
        <v>130564.30927857227</v>
      </c>
      <c r="Y40" s="175">
        <f>SUM(Y41*Y43)/Z40</f>
        <v>61.71652730358452</v>
      </c>
      <c r="Z40" s="176">
        <v>45</v>
      </c>
      <c r="AA40" s="173">
        <f>AA14</f>
        <v>134142</v>
      </c>
      <c r="AB40" s="173">
        <f>AB14</f>
        <v>133356</v>
      </c>
      <c r="AC40" s="47" t="s">
        <v>1</v>
      </c>
      <c r="AD40" s="38">
        <v>2</v>
      </c>
      <c r="AE40" s="40"/>
      <c r="AF40" s="40"/>
      <c r="AG40" s="40"/>
      <c r="AH40" s="40"/>
      <c r="AI40" s="40"/>
      <c r="AJ40" s="40"/>
    </row>
    <row r="41" spans="1:36" ht="61.5" x14ac:dyDescent="0.9">
      <c r="A41" s="111">
        <f>SUM((C31-B37)+C37)/2</f>
        <v>132232.78707614579</v>
      </c>
      <c r="B41" s="111"/>
      <c r="C41" s="117">
        <f>SUM(C35*-1)</f>
        <v>-0.8680217351276287</v>
      </c>
      <c r="D41" s="22">
        <f>SUM(C34*-1+C32)/-2</f>
        <v>0.3061058514308086</v>
      </c>
      <c r="E41" s="23">
        <v>0</v>
      </c>
      <c r="F41" s="16">
        <f>SUM(D30+F30)/(F30+H30)*((D30+F30+H30)/3)</f>
        <v>0.81446714417987687</v>
      </c>
      <c r="G41" s="7">
        <f>SUM(D28+F28)/(F28+H28)*(D28+F28+H28)/3*F41/H40</f>
        <v>2.1199772254128627E-2</v>
      </c>
      <c r="H41" s="10">
        <f>SUM(H44/H43)*H42</f>
        <v>132233.08921795795</v>
      </c>
      <c r="I41" s="48">
        <f>(J40+I38+Q47)/3</f>
        <v>132599.16800988311</v>
      </c>
      <c r="J41" s="48">
        <v>1</v>
      </c>
      <c r="K41" s="48">
        <f>(B30+B27+A27+B27)/4</f>
        <v>130629.32542452248</v>
      </c>
      <c r="L41" s="49"/>
      <c r="M41" s="40"/>
      <c r="N41" s="40"/>
      <c r="O41" s="40"/>
      <c r="P41" s="40"/>
      <c r="Q41" s="40"/>
      <c r="R41" s="40"/>
      <c r="S41" s="32">
        <f>SUM((U31-T37)+U37)/2</f>
        <v>132232.78707614579</v>
      </c>
      <c r="T41" s="32"/>
      <c r="U41" s="175">
        <f>SUM(U35*-1)</f>
        <v>-0.8680217351276287</v>
      </c>
      <c r="V41" s="179">
        <f>SUM(U34*-1+U32)/-2</f>
        <v>0.3061058514308086</v>
      </c>
      <c r="W41" s="209">
        <v>0</v>
      </c>
      <c r="X41" s="210">
        <f>SUM(V30+X30)/(X30+Z30)*((V30+X30+Z30)/3)</f>
        <v>0.81446714417987687</v>
      </c>
      <c r="Y41" s="175">
        <f>SUM(V28+X28)/(X28+Z28)*(V28+X28+Z28)/3*X41/Z40</f>
        <v>2.1199772254128627E-2</v>
      </c>
      <c r="Z41" s="179">
        <f>SUM(Z44/Z43)*Z42</f>
        <v>132233.08921795795</v>
      </c>
      <c r="AA41" s="180">
        <f>(AB40+AA38+AI47)/3</f>
        <v>132599.16800988311</v>
      </c>
      <c r="AB41" s="180">
        <v>1</v>
      </c>
      <c r="AC41" s="180">
        <f>(T30+T27+S27+T27)/4</f>
        <v>130629.32542452248</v>
      </c>
      <c r="AD41" s="49"/>
      <c r="AE41" s="40"/>
      <c r="AF41" s="40"/>
      <c r="AG41" s="40"/>
      <c r="AH41" s="40"/>
      <c r="AI41" s="40"/>
      <c r="AJ41" s="40"/>
    </row>
    <row r="42" spans="1:36" ht="61.5" x14ac:dyDescent="0.9">
      <c r="A42" s="125">
        <f>SUM(D27-D32)</f>
        <v>131287.5626611925</v>
      </c>
      <c r="B42" s="125">
        <f>SUM(F27-F32)</f>
        <v>132047.91865424614</v>
      </c>
      <c r="C42" s="26">
        <f>SUM(H27-H32)</f>
        <v>132598.76936177703</v>
      </c>
      <c r="D42" s="21">
        <f>SUM(A44-B44)</f>
        <v>0.259246692963643</v>
      </c>
      <c r="E42" s="21">
        <v>1.8</v>
      </c>
      <c r="F42" s="26">
        <f>SUM(E42/D28)*(D28+E42)/2</f>
        <v>2.52</v>
      </c>
      <c r="G42" s="27">
        <f>SUM(H43/H44)*H42</f>
        <v>132233.03741840235</v>
      </c>
      <c r="H42" s="27">
        <f>SUM(H43+(F41*G41))</f>
        <v>132233.06331817762</v>
      </c>
      <c r="I42" s="48">
        <f>(I40+J37+Q48)/3</f>
        <v>132642.42026041666</v>
      </c>
      <c r="J42" s="48">
        <f>(B30+B27+A27)/3</f>
        <v>130760.2264445568</v>
      </c>
      <c r="K42" s="48">
        <f>(A27+B27+B30*2)/4</f>
        <v>130950.11211785828</v>
      </c>
      <c r="L42" s="40"/>
      <c r="M42" s="40"/>
      <c r="N42" s="40"/>
      <c r="O42" s="40"/>
      <c r="P42" s="40"/>
      <c r="Q42" s="40"/>
      <c r="R42" s="40"/>
      <c r="S42" s="195">
        <f>SUM(V27-V32)</f>
        <v>131287.5626611925</v>
      </c>
      <c r="T42" s="195">
        <f>SUM(X27-X32)</f>
        <v>132047.91865424614</v>
      </c>
      <c r="U42" s="182">
        <f>SUM(Z27-Z32)</f>
        <v>132598.76936177703</v>
      </c>
      <c r="V42" s="149">
        <f>SUM(S44-T44)</f>
        <v>0.259246692963643</v>
      </c>
      <c r="W42" s="149">
        <v>1.8</v>
      </c>
      <c r="X42" s="182">
        <f>SUM(W42/V28)*(V28+W42)/2</f>
        <v>2.52</v>
      </c>
      <c r="Y42" s="181">
        <f>SUM(Z43/Z44)*Z42</f>
        <v>132233.03741840235</v>
      </c>
      <c r="Z42" s="181">
        <f>SUM(Z43+(X41*Y41))</f>
        <v>132233.06331817762</v>
      </c>
      <c r="AA42" s="180">
        <f>(AA40+AB37+AI48)/3</f>
        <v>132642.42026041666</v>
      </c>
      <c r="AB42" s="180">
        <f>(T30+T27+S27)/3</f>
        <v>130760.2264445568</v>
      </c>
      <c r="AC42" s="180">
        <f>(S27+T27+T30*2)/4</f>
        <v>130950.11211785828</v>
      </c>
      <c r="AD42" s="40"/>
      <c r="AE42" s="40"/>
      <c r="AF42" s="40"/>
      <c r="AG42" s="40"/>
      <c r="AH42" s="40"/>
      <c r="AI42" s="40"/>
      <c r="AJ42" s="40"/>
    </row>
    <row r="43" spans="1:36" ht="62.25" thickBot="1" x14ac:dyDescent="0.95">
      <c r="A43" s="125">
        <f>SUM(A42+D31)</f>
        <v>131288.04859320083</v>
      </c>
      <c r="B43" s="125">
        <f>SUM(B42+F31)</f>
        <v>132048.07845319383</v>
      </c>
      <c r="C43" s="26">
        <f>SUM(C42+H31)</f>
        <v>132598.90137089984</v>
      </c>
      <c r="D43" s="21"/>
      <c r="E43" s="26">
        <f>SUM(A33)</f>
        <v>131000.95000758176</v>
      </c>
      <c r="F43" s="26">
        <f>SUM(A44/B44)*A44</f>
        <v>131978.60205296703</v>
      </c>
      <c r="G43" s="26">
        <f>SUM(E43+F42)</f>
        <v>131003.47000758177</v>
      </c>
      <c r="H43" s="27">
        <f>SUM(((E44-F41*G41)+E44))/2</f>
        <v>132233.04605165965</v>
      </c>
      <c r="I43" s="48">
        <f>(B30+A27+B27+A27)/4</f>
        <v>130701.24179128965</v>
      </c>
      <c r="J43" s="48">
        <f>(J42+I42)/2</f>
        <v>131701.32335248674</v>
      </c>
      <c r="K43" s="48">
        <f>(K42+K41)/2</f>
        <v>130789.71877119038</v>
      </c>
      <c r="L43" s="40"/>
      <c r="M43" s="40"/>
      <c r="N43" s="40"/>
      <c r="O43" s="40"/>
      <c r="P43" s="40"/>
      <c r="Q43" s="40"/>
      <c r="R43" s="40"/>
      <c r="S43" s="195">
        <f>SUM(S42+V31)</f>
        <v>131288.04859320083</v>
      </c>
      <c r="T43" s="195">
        <f>SUM(T42+X31)</f>
        <v>132048.07845319383</v>
      </c>
      <c r="U43" s="182">
        <f>SUM(U42+Z31)</f>
        <v>132598.90137089984</v>
      </c>
      <c r="V43" s="149"/>
      <c r="W43" s="182">
        <f>SUM(S33)</f>
        <v>131000.95000758176</v>
      </c>
      <c r="X43" s="182">
        <f>SUM(S44/T44)*S44</f>
        <v>131978.60205296703</v>
      </c>
      <c r="Y43" s="182">
        <f>SUM(W43+X42)</f>
        <v>131003.47000758177</v>
      </c>
      <c r="Z43" s="181">
        <f>SUM(((W44-X41*Y41)+W44))/2</f>
        <v>132233.04605165965</v>
      </c>
      <c r="AA43" s="180">
        <f>(T30+S27+T27+S27)/4</f>
        <v>130701.24179128965</v>
      </c>
      <c r="AB43" s="180">
        <f>(AB42+AA42)/2</f>
        <v>131701.32335248674</v>
      </c>
      <c r="AC43" s="180">
        <f>(AC42+AC41)/2</f>
        <v>130789.71877119038</v>
      </c>
      <c r="AD43" s="40"/>
      <c r="AE43" s="40"/>
      <c r="AF43" s="40"/>
      <c r="AG43" s="40"/>
      <c r="AH43" s="40"/>
      <c r="AI43" s="40"/>
      <c r="AJ43" s="40"/>
    </row>
    <row r="44" spans="1:36" ht="62.25" thickBot="1" x14ac:dyDescent="0.95">
      <c r="A44" s="125">
        <f>SUM(A43+B43+C43)/3</f>
        <v>131978.34280576484</v>
      </c>
      <c r="B44" s="125">
        <f>SUM(A42+B42+C42)/3</f>
        <v>131978.08355907188</v>
      </c>
      <c r="C44" s="21"/>
      <c r="D44" s="21">
        <f>SUM(F44+F43)/2</f>
        <v>131978.21318292757</v>
      </c>
      <c r="E44" s="26">
        <f>SUM(A31)</f>
        <v>132233.05468491864</v>
      </c>
      <c r="F44" s="28">
        <f>SUM(B44/A44)*B44</f>
        <v>131977.82431288814</v>
      </c>
      <c r="G44" s="26">
        <f>SUM(E44+F42)</f>
        <v>132235.57468491863</v>
      </c>
      <c r="H44" s="27">
        <f>SUM(E44+(F41*G41))</f>
        <v>132233.07195143661</v>
      </c>
      <c r="I44" s="48">
        <f>(A27+I43)/2</f>
        <v>130612.76481138892</v>
      </c>
      <c r="J44" s="48">
        <f>(B30+B27+B29)/3</f>
        <v>130502.2767242074</v>
      </c>
      <c r="K44" s="69">
        <f>K18</f>
        <v>45</v>
      </c>
      <c r="L44" s="70">
        <f>(C27+D27)/2</f>
        <v>131827</v>
      </c>
      <c r="M44" s="40"/>
      <c r="N44" s="40"/>
      <c r="O44" s="40"/>
      <c r="P44" s="40"/>
      <c r="Q44" s="40"/>
      <c r="R44" s="40"/>
      <c r="S44" s="195">
        <f>SUM(S43+T43+U43)/3</f>
        <v>131978.34280576484</v>
      </c>
      <c r="T44" s="195">
        <f>SUM(S42+T42+U42)/3</f>
        <v>131978.08355907188</v>
      </c>
      <c r="U44" s="149"/>
      <c r="V44" s="149">
        <f>SUM(X44+X43)/2</f>
        <v>131978.21318292757</v>
      </c>
      <c r="W44" s="182">
        <f>SUM(S31)</f>
        <v>132233.05468491864</v>
      </c>
      <c r="X44" s="211">
        <f>SUM(T44/S44)*T44</f>
        <v>131977.82431288814</v>
      </c>
      <c r="Y44" s="182">
        <f>SUM(W44+X42)</f>
        <v>132235.57468491863</v>
      </c>
      <c r="Z44" s="181">
        <f>SUM(W44+(X41*Y41))</f>
        <v>132233.07195143661</v>
      </c>
      <c r="AA44" s="180">
        <f>(S27+AA43)/2</f>
        <v>130612.76481138892</v>
      </c>
      <c r="AB44" s="180">
        <f>(T30+T27+T29)/3</f>
        <v>130502.2767242074</v>
      </c>
      <c r="AC44" s="184">
        <f>AC18</f>
        <v>45</v>
      </c>
      <c r="AD44" s="70">
        <f>(U27+V27)/2</f>
        <v>131827</v>
      </c>
      <c r="AE44" s="40"/>
      <c r="AF44" s="40"/>
      <c r="AG44" s="40"/>
      <c r="AH44" s="40"/>
      <c r="AI44" s="40"/>
      <c r="AJ44" s="40"/>
    </row>
    <row r="45" spans="1:36" ht="61.5" x14ac:dyDescent="0.9">
      <c r="A45" s="126">
        <f>SUM(H27)</f>
        <v>132599.16800988311</v>
      </c>
      <c r="B45" s="126">
        <f>SUM(G27)</f>
        <v>132642.42026041666</v>
      </c>
      <c r="C45" s="50">
        <f>SUM(F27)</f>
        <v>132048.11267548261</v>
      </c>
      <c r="D45" s="50">
        <f>SUM(E27)</f>
        <v>132961.56438061449</v>
      </c>
      <c r="E45" s="50">
        <f>SUM(D27)</f>
        <v>131288</v>
      </c>
      <c r="F45" s="50">
        <f>SUM(C27)</f>
        <v>132366</v>
      </c>
      <c r="G45" s="50">
        <f>SUM(A49)</f>
        <v>132366</v>
      </c>
      <c r="H45" s="50">
        <f>SUM(B49)</f>
        <v>132048.11267548261</v>
      </c>
      <c r="I45" s="51">
        <f>((I39*100)^L39)</f>
        <v>3660.5600664379213</v>
      </c>
      <c r="J45" s="51">
        <f>INT(I45)+1</f>
        <v>3661</v>
      </c>
      <c r="K45" s="52">
        <f>(J45+K44/360)^L40/100</f>
        <v>134038.36265625001</v>
      </c>
      <c r="L45" s="53">
        <f>INT(J45)+1</f>
        <v>3662</v>
      </c>
      <c r="M45" s="52">
        <f>(L45+K44/360)^L40/100</f>
        <v>134111.59515625</v>
      </c>
      <c r="N45" s="52">
        <f>(K45+M45)/2</f>
        <v>134074.97890625001</v>
      </c>
      <c r="O45" s="52">
        <f>((O46+L44)/2*100)^L39</f>
        <v>3646.307261934669</v>
      </c>
      <c r="P45" s="52">
        <f>INT(O45)+1</f>
        <v>3647</v>
      </c>
      <c r="Q45" s="53">
        <f>(P45+K44/360)^L40/100</f>
        <v>133015.20765624999</v>
      </c>
      <c r="R45" s="52">
        <f>INT(Q46)+1</f>
        <v>3635</v>
      </c>
      <c r="S45" s="212">
        <f>SUM(Z27)</f>
        <v>132599.16800988311</v>
      </c>
      <c r="T45" s="212">
        <f>SUM(Y27)</f>
        <v>132642.42026041666</v>
      </c>
      <c r="U45" s="187">
        <f>SUM(X27)</f>
        <v>132048.11267548261</v>
      </c>
      <c r="V45" s="187">
        <f>SUM(W27)</f>
        <v>132961.56438061449</v>
      </c>
      <c r="W45" s="187">
        <f>SUM(V27)</f>
        <v>131288</v>
      </c>
      <c r="X45" s="187">
        <f>SUM(U27)</f>
        <v>132366</v>
      </c>
      <c r="Y45" s="187">
        <f>SUM(S49)</f>
        <v>132366</v>
      </c>
      <c r="Z45" s="187">
        <f>SUM(T49)</f>
        <v>132048.11267548261</v>
      </c>
      <c r="AA45" s="53">
        <f>((AA39*100)^AD39)</f>
        <v>3660.5600664379213</v>
      </c>
      <c r="AB45" s="53">
        <f>INT(AA45)+1</f>
        <v>3661</v>
      </c>
      <c r="AC45" s="52">
        <f>(AB45+AC44/360)^AD40/100</f>
        <v>134038.36265625001</v>
      </c>
      <c r="AD45" s="53">
        <f>INT(AB45)+1</f>
        <v>3662</v>
      </c>
      <c r="AE45" s="52">
        <f>(AD45+AC44/360)^AD40/100</f>
        <v>134111.59515625</v>
      </c>
      <c r="AF45" s="52">
        <f>(AC45+AE45)/2</f>
        <v>134074.97890625001</v>
      </c>
      <c r="AG45" s="52">
        <f>((AG46+AD44)/2*100)^AD39</f>
        <v>3646.307261934669</v>
      </c>
      <c r="AH45" s="52">
        <f>INT(AG45)+1</f>
        <v>3647</v>
      </c>
      <c r="AI45" s="53">
        <f>(AH45+AC44/360)^AD40/100</f>
        <v>133015.20765624999</v>
      </c>
      <c r="AJ45" s="52">
        <f>INT(AI46)+1</f>
        <v>3635</v>
      </c>
    </row>
    <row r="46" spans="1:36" ht="61.5" x14ac:dyDescent="0.9">
      <c r="A46" s="126">
        <f t="shared" ref="A46:F46" si="4">SUM(A45)</f>
        <v>132599.16800988311</v>
      </c>
      <c r="B46" s="126">
        <f t="shared" si="4"/>
        <v>132642.42026041666</v>
      </c>
      <c r="C46" s="50">
        <f t="shared" si="4"/>
        <v>132048.11267548261</v>
      </c>
      <c r="D46" s="50">
        <f t="shared" si="4"/>
        <v>132961.56438061449</v>
      </c>
      <c r="E46" s="50">
        <f t="shared" si="4"/>
        <v>131288</v>
      </c>
      <c r="F46" s="50">
        <f t="shared" si="4"/>
        <v>132366</v>
      </c>
      <c r="G46" s="50">
        <f>SUM(H43)</f>
        <v>132233.04605165965</v>
      </c>
      <c r="H46" s="50">
        <f>SUM(G39)</f>
        <v>132912.58918660146</v>
      </c>
      <c r="I46" s="51">
        <f>(J39*100)^L39</f>
        <v>3636.096808392208</v>
      </c>
      <c r="J46" s="51">
        <f>INT(I46)+1</f>
        <v>3637</v>
      </c>
      <c r="K46" s="52">
        <f>(J46-K44/360)^L40/100</f>
        <v>132268.59765625</v>
      </c>
      <c r="L46" s="54">
        <f>INT(J46)+1</f>
        <v>3638</v>
      </c>
      <c r="M46" s="52">
        <f>(L46-K44/360)^L40/100</f>
        <v>132341.34515625</v>
      </c>
      <c r="N46" s="52">
        <f>(N45+M45)/2</f>
        <v>134093.28703125002</v>
      </c>
      <c r="O46" s="52">
        <f>(N45+N46)/2</f>
        <v>134084.13296875003</v>
      </c>
      <c r="P46" s="52">
        <f>(K46+M46)/2</f>
        <v>132304.97140625</v>
      </c>
      <c r="Q46" s="52">
        <f>((P46+L44)/2*100)^L39</f>
        <v>3634.0884098096049</v>
      </c>
      <c r="R46" s="52">
        <f>(R45+K44/360)^L40/100</f>
        <v>132141.33765624999</v>
      </c>
      <c r="S46" s="212">
        <f t="shared" ref="S46:X46" si="5">SUM(S45)</f>
        <v>132599.16800988311</v>
      </c>
      <c r="T46" s="212">
        <f t="shared" si="5"/>
        <v>132642.42026041666</v>
      </c>
      <c r="U46" s="187">
        <f t="shared" si="5"/>
        <v>132048.11267548261</v>
      </c>
      <c r="V46" s="187">
        <f t="shared" si="5"/>
        <v>132961.56438061449</v>
      </c>
      <c r="W46" s="187">
        <f t="shared" si="5"/>
        <v>131288</v>
      </c>
      <c r="X46" s="187">
        <f t="shared" si="5"/>
        <v>132366</v>
      </c>
      <c r="Y46" s="187">
        <f>SUM(Z43)</f>
        <v>132233.04605165965</v>
      </c>
      <c r="Z46" s="187">
        <f>SUM(Y39)</f>
        <v>132912.58918660146</v>
      </c>
      <c r="AA46" s="53">
        <f>(AB39*100)^AD39</f>
        <v>3636.096808392208</v>
      </c>
      <c r="AB46" s="53">
        <f>INT(AA46)+1</f>
        <v>3637</v>
      </c>
      <c r="AC46" s="52">
        <f>(AB46-AC44/360)^AD40/100</f>
        <v>132268.59765625</v>
      </c>
      <c r="AD46" s="54">
        <f>INT(AB46)+1</f>
        <v>3638</v>
      </c>
      <c r="AE46" s="52">
        <f>(AD46-AC44/360)^AD40/100</f>
        <v>132341.34515625</v>
      </c>
      <c r="AF46" s="52">
        <f>(AF45+AE45)/2</f>
        <v>134093.28703125002</v>
      </c>
      <c r="AG46" s="52">
        <f>(AF45+AF46)/2</f>
        <v>134084.13296875003</v>
      </c>
      <c r="AH46" s="52">
        <f>(AC46+AE46)/2</f>
        <v>132304.97140625</v>
      </c>
      <c r="AI46" s="52">
        <f>((AH46+AD44)/2*100)^AD39</f>
        <v>3634.0884098096049</v>
      </c>
      <c r="AJ46" s="52">
        <f>(AJ45+AC44/360)^AD40/100</f>
        <v>132141.33765624999</v>
      </c>
    </row>
    <row r="47" spans="1:36" ht="61.5" x14ac:dyDescent="0.9">
      <c r="A47" s="126">
        <f>SUM(C27)</f>
        <v>132366</v>
      </c>
      <c r="B47" s="126">
        <f>SUM(A36+A33)/2</f>
        <v>130625.68640681758</v>
      </c>
      <c r="C47" s="50">
        <f>SUM((A48/B48)*(B47+B47))/2</f>
        <v>131369.038434463</v>
      </c>
      <c r="D47" s="50">
        <f>SUM(B47/C47)*(C47+B47)/2</f>
        <v>130256.11352263481</v>
      </c>
      <c r="E47" s="50">
        <f>SUM(C47/D47)*(C47+D47)/2</f>
        <v>131930.25537684944</v>
      </c>
      <c r="F47" s="50">
        <f>SUM(D47+E47)/2</f>
        <v>131093.18444974214</v>
      </c>
      <c r="G47" s="50">
        <f>SUM(E47/F47)*(F47+E47)/2</f>
        <v>132351.46332005924</v>
      </c>
      <c r="H47" s="50">
        <f>SUM(E47/G47)*(G47+E47)/2</f>
        <v>131720.32165144724</v>
      </c>
      <c r="I47" s="52">
        <f>(I40*100)^L39</f>
        <v>3662.5401021695311</v>
      </c>
      <c r="J47" s="52">
        <f>INT(I47)+1</f>
        <v>3663</v>
      </c>
      <c r="K47" s="52">
        <f>(J47+K44/360)^L40/100</f>
        <v>134184.84765625</v>
      </c>
      <c r="L47" s="52">
        <f>INT(J47)+1</f>
        <v>3664</v>
      </c>
      <c r="M47" s="52">
        <f>(L47+K44/360)^L40/100</f>
        <v>134258.12015624999</v>
      </c>
      <c r="N47" s="52">
        <f>(K47+M47)/2</f>
        <v>134221.48390624998</v>
      </c>
      <c r="O47" s="52">
        <f>((N47+L44)/2*100)^L39</f>
        <v>3647.2488529455322</v>
      </c>
      <c r="P47" s="52">
        <f>INT(O47)+1</f>
        <v>3648</v>
      </c>
      <c r="Q47" s="52">
        <f>(P47+K44/360)^L40/100</f>
        <v>133088.16015625</v>
      </c>
      <c r="R47" s="52"/>
      <c r="S47" s="212">
        <f>SUM(U27)</f>
        <v>132366</v>
      </c>
      <c r="T47" s="212">
        <f>SUM(S36+S33)/2</f>
        <v>130625.68640681758</v>
      </c>
      <c r="U47" s="187">
        <f>SUM((S48/T48)*(T47+T47))/2</f>
        <v>131369.038434463</v>
      </c>
      <c r="V47" s="187">
        <f>SUM(T47/U47)*(U47+T47)/2</f>
        <v>130256.11352263481</v>
      </c>
      <c r="W47" s="187">
        <f>SUM(U47/V47)*(U47+V47)/2</f>
        <v>131930.25537684944</v>
      </c>
      <c r="X47" s="187">
        <f>SUM(V47+W47)/2</f>
        <v>131093.18444974214</v>
      </c>
      <c r="Y47" s="187">
        <f>SUM(W47/X47)*(X47+W47)/2</f>
        <v>132351.46332005924</v>
      </c>
      <c r="Z47" s="187">
        <f>SUM(W47/Y47)*(Y47+W47)/2</f>
        <v>131720.32165144724</v>
      </c>
      <c r="AA47" s="52">
        <f>(AA40*100)^AD39</f>
        <v>3662.5401021695311</v>
      </c>
      <c r="AB47" s="52">
        <f>INT(AA47)+1</f>
        <v>3663</v>
      </c>
      <c r="AC47" s="52">
        <f>(AB47+AC44/360)^AD40/100</f>
        <v>134184.84765625</v>
      </c>
      <c r="AD47" s="52">
        <f>INT(AB47)+1</f>
        <v>3664</v>
      </c>
      <c r="AE47" s="52">
        <f>(AD47+AC44/360)^AD40/100</f>
        <v>134258.12015624999</v>
      </c>
      <c r="AF47" s="52">
        <f>(AC47+AE47)/2</f>
        <v>134221.48390624998</v>
      </c>
      <c r="AG47" s="52">
        <f>((AF47+AD44)/2*100)^AD39</f>
        <v>3647.2488529455322</v>
      </c>
      <c r="AH47" s="52">
        <f>INT(AG47)+1</f>
        <v>3648</v>
      </c>
      <c r="AI47" s="52">
        <f>(AH47+AC44/360)^AD40/100</f>
        <v>133088.16015625</v>
      </c>
      <c r="AJ47" s="52"/>
    </row>
    <row r="48" spans="1:36" ht="61.5" x14ac:dyDescent="0.9">
      <c r="A48" s="13">
        <f>SUM(A47)</f>
        <v>132366</v>
      </c>
      <c r="B48" s="13">
        <f>SUM(H42+E43)/2</f>
        <v>131617.00666287969</v>
      </c>
      <c r="C48" s="55">
        <f>SUM(A48/B48)*(A48+B48)/2</f>
        <v>132742.62781799622</v>
      </c>
      <c r="D48" s="55">
        <f>SUM(B48/C48)*(B48+A48)/2</f>
        <v>130872.25150640284</v>
      </c>
      <c r="E48" s="55">
        <f>SUM(C48/D48)*(D48+A48)/2</f>
        <v>133500.17610671639</v>
      </c>
      <c r="F48" s="55">
        <f>SUM(D48/A48)*(E48+A48)/2</f>
        <v>131432.93997886081</v>
      </c>
      <c r="G48" s="55">
        <f>SUM(E48/F48)*(A48+F48)/2</f>
        <v>133974.04391017667</v>
      </c>
      <c r="H48" s="55">
        <f>SUM(A48/G48)*(G48+A48)/2</f>
        <v>131571.62844114361</v>
      </c>
      <c r="I48" s="52">
        <f>(J40*100)^L39</f>
        <v>3651.7940796271632</v>
      </c>
      <c r="J48" s="52">
        <f>INT(I48)+1</f>
        <v>3652</v>
      </c>
      <c r="K48" s="52">
        <f>(J48+K44/360)^L40/100</f>
        <v>133380.17015625001</v>
      </c>
      <c r="L48" s="52">
        <f>INT(I48)+1</f>
        <v>3652</v>
      </c>
      <c r="M48" s="52">
        <f>(L48+K44/360)^L40/100</f>
        <v>133380.17015625001</v>
      </c>
      <c r="N48" s="52">
        <f>(K48+M48)/2</f>
        <v>133380.17015625001</v>
      </c>
      <c r="O48" s="52">
        <f>((N48+L44)/2*100)^L39</f>
        <v>3641.4775171367596</v>
      </c>
      <c r="P48" s="52">
        <f>INT(O48)+1</f>
        <v>3642</v>
      </c>
      <c r="Q48" s="52">
        <f>(P48+K44/360)^L40/100</f>
        <v>132650.74515624999</v>
      </c>
      <c r="R48" s="52"/>
      <c r="S48" s="190">
        <f>SUM(S47)</f>
        <v>132366</v>
      </c>
      <c r="T48" s="190">
        <f>SUM(Z42+W43)/2</f>
        <v>131617.00666287969</v>
      </c>
      <c r="U48" s="189">
        <f>SUM(S48/T48)*(S48+T48)/2</f>
        <v>132742.62781799622</v>
      </c>
      <c r="V48" s="189">
        <f>SUM(T48/U48)*(T48+S48)/2</f>
        <v>130872.25150640284</v>
      </c>
      <c r="W48" s="189">
        <f>SUM(U48/V48)*(V48+S48)/2</f>
        <v>133500.17610671639</v>
      </c>
      <c r="X48" s="189">
        <f>SUM(V48/S48)*(W48+S48)/2</f>
        <v>131432.93997886081</v>
      </c>
      <c r="Y48" s="189">
        <f>SUM(W48/X48)*(S48+X48)/2</f>
        <v>133974.04391017667</v>
      </c>
      <c r="Z48" s="189">
        <f>SUM(S48/Y48)*(Y48+S48)/2</f>
        <v>131571.62844114361</v>
      </c>
      <c r="AA48" s="52">
        <f>(AB40*100)^AD39</f>
        <v>3651.7940796271632</v>
      </c>
      <c r="AB48" s="52">
        <f>INT(AA48)+1</f>
        <v>3652</v>
      </c>
      <c r="AC48" s="52">
        <f>(AB48+AC44/360)^AD40/100</f>
        <v>133380.17015625001</v>
      </c>
      <c r="AD48" s="52">
        <f>INT(AA48)+1</f>
        <v>3652</v>
      </c>
      <c r="AE48" s="52">
        <f>(AD48+AC44/360)^AD40/100</f>
        <v>133380.17015625001</v>
      </c>
      <c r="AF48" s="52">
        <f>(AC48+AE48)/2</f>
        <v>133380.17015625001</v>
      </c>
      <c r="AG48" s="52">
        <f>((AF48+AD44)/2*100)^AD39</f>
        <v>3641.4775171367596</v>
      </c>
      <c r="AH48" s="52">
        <f>INT(AG48)+1</f>
        <v>3642</v>
      </c>
      <c r="AI48" s="52">
        <f>(AH48+AC44/360)^AD40/100</f>
        <v>132650.74515624999</v>
      </c>
      <c r="AJ48" s="52"/>
    </row>
    <row r="49" spans="1:36" ht="61.5" x14ac:dyDescent="0.9">
      <c r="A49" s="13">
        <f>SUM(A48)</f>
        <v>132366</v>
      </c>
      <c r="B49" s="13">
        <f>SUM(C46)</f>
        <v>132048.11267548261</v>
      </c>
      <c r="C49" s="13">
        <f>SUM(B30+A35)/2</f>
        <v>131019.78500214926</v>
      </c>
      <c r="D49" s="13">
        <f>SUM(A35)</f>
        <v>130519.80086653582</v>
      </c>
      <c r="E49" s="13">
        <f>SUM(A36)</f>
        <v>130250.42280605341</v>
      </c>
      <c r="F49" s="13">
        <f>SUM(((A49/B49)+(C49/B49))/2)*(B49+C49)/2</f>
        <v>131180.11180699163</v>
      </c>
      <c r="G49" s="13">
        <f>SUM(((D49/F49)+(E49/C49))/2*(D49+E49+F49)/3)</f>
        <v>129937.69454793657</v>
      </c>
      <c r="H49" s="13">
        <f>SUM(((G49/E49)+(E49/B49))/2*(B49+D49+G49)/3)</f>
        <v>129787.54782926425</v>
      </c>
      <c r="I49" s="67"/>
      <c r="J49" s="40"/>
      <c r="K49" s="40"/>
      <c r="L49" s="40"/>
      <c r="M49" s="40"/>
      <c r="N49" s="40"/>
      <c r="O49" s="40"/>
      <c r="P49" s="40"/>
      <c r="Q49" s="40"/>
      <c r="R49" s="40"/>
      <c r="S49" s="190">
        <f>SUM(S48)</f>
        <v>132366</v>
      </c>
      <c r="T49" s="190">
        <f>SUM(U46)</f>
        <v>132048.11267548261</v>
      </c>
      <c r="U49" s="190">
        <f>SUM(T30+S35)/2</f>
        <v>131019.78500214926</v>
      </c>
      <c r="V49" s="190">
        <f>SUM(S35)</f>
        <v>130519.80086653582</v>
      </c>
      <c r="W49" s="190">
        <f>SUM(S36)</f>
        <v>130250.42280605341</v>
      </c>
      <c r="X49" s="190">
        <f>SUM(((S49/T49)+(U49/T49))/2)*(T49+U49)/2</f>
        <v>131180.11180699163</v>
      </c>
      <c r="Y49" s="190">
        <f>SUM(((V49/X49)+(W49/U49))/2*(V49+W49+X49)/3)</f>
        <v>129937.69454793657</v>
      </c>
      <c r="Z49" s="190">
        <f>SUM(((Y49/W49)+(W49/T49))/2*(T49+V49+Y49)/3)</f>
        <v>129787.54782926425</v>
      </c>
      <c r="AA49" s="67"/>
      <c r="AB49" s="40"/>
      <c r="AC49" s="40"/>
      <c r="AD49" s="40"/>
      <c r="AE49" s="40"/>
      <c r="AF49" s="40"/>
      <c r="AG49" s="40"/>
      <c r="AH49" s="40"/>
      <c r="AI49" s="40"/>
      <c r="AJ49" s="40"/>
    </row>
    <row r="50" spans="1:36" ht="61.5" x14ac:dyDescent="0.9">
      <c r="A50" s="13">
        <f>SUM(D27)</f>
        <v>131288</v>
      </c>
      <c r="B50" s="13">
        <f>SUM(C27)</f>
        <v>132366</v>
      </c>
      <c r="C50" s="55">
        <f>SUM(A36)</f>
        <v>130250.42280605341</v>
      </c>
      <c r="D50" s="55">
        <f>SUM(A29)</f>
        <v>130209.02148115171</v>
      </c>
      <c r="E50" s="55">
        <f>SUM(B30)</f>
        <v>131519.76913776272</v>
      </c>
      <c r="F50" s="13">
        <f>SUM(A50)</f>
        <v>131288</v>
      </c>
      <c r="G50" s="13">
        <f>SUM(B50)</f>
        <v>132366</v>
      </c>
      <c r="H50" s="13">
        <f>SUM(C50)</f>
        <v>130250.42280605341</v>
      </c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190">
        <f>SUM(V27)</f>
        <v>131288</v>
      </c>
      <c r="T50" s="190">
        <f>SUM(U27)</f>
        <v>132366</v>
      </c>
      <c r="U50" s="189">
        <f>SUM(S36)</f>
        <v>130250.42280605341</v>
      </c>
      <c r="V50" s="189">
        <f>SUM(S29)</f>
        <v>130209.02148115171</v>
      </c>
      <c r="W50" s="189">
        <f>SUM(T30)</f>
        <v>131519.76913776272</v>
      </c>
      <c r="X50" s="190">
        <f>SUM(S50)</f>
        <v>131288</v>
      </c>
      <c r="Y50" s="190">
        <f>SUM(T50)</f>
        <v>132366</v>
      </c>
      <c r="Z50" s="190">
        <f>SUM(U50)</f>
        <v>130250.42280605341</v>
      </c>
      <c r="AA50" s="40"/>
      <c r="AB50" s="40"/>
      <c r="AC50" s="40"/>
      <c r="AD50" s="40"/>
      <c r="AE50" s="40"/>
      <c r="AF50" s="40"/>
      <c r="AG50" s="40"/>
      <c r="AH50" s="40"/>
      <c r="AI50" s="40"/>
      <c r="AJ50" s="40"/>
    </row>
    <row r="51" spans="1:36" ht="61.5" x14ac:dyDescent="0.9">
      <c r="A51" s="127">
        <f>SUM(H27)</f>
        <v>132599.16800988311</v>
      </c>
      <c r="B51" s="127">
        <f>SUM(G27)</f>
        <v>132642.42026041666</v>
      </c>
      <c r="C51" s="56">
        <f>SUM(F27)</f>
        <v>132048.11267548261</v>
      </c>
      <c r="D51" s="56">
        <f>SUM(E27)</f>
        <v>132961.56438061449</v>
      </c>
      <c r="E51" s="56">
        <f>SUM(D27)</f>
        <v>131288</v>
      </c>
      <c r="F51" s="56">
        <f>SUM(C27)</f>
        <v>132366</v>
      </c>
      <c r="G51" s="57">
        <f>SUM(A36)</f>
        <v>130250.42280605341</v>
      </c>
      <c r="H51" s="57">
        <f>SUM(A35)</f>
        <v>130519.80086653582</v>
      </c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165">
        <f>SUM(Z27)</f>
        <v>132599.16800988311</v>
      </c>
      <c r="T51" s="165">
        <f>SUM(Y27)</f>
        <v>132642.42026041666</v>
      </c>
      <c r="U51" s="191">
        <f>SUM(X27)</f>
        <v>132048.11267548261</v>
      </c>
      <c r="V51" s="191">
        <f>SUM(W27)</f>
        <v>132961.56438061449</v>
      </c>
      <c r="W51" s="191">
        <f>SUM(V27)</f>
        <v>131288</v>
      </c>
      <c r="X51" s="191">
        <f>SUM(U27)</f>
        <v>132366</v>
      </c>
      <c r="Y51" s="192">
        <f>SUM(S36)</f>
        <v>130250.42280605341</v>
      </c>
      <c r="Z51" s="192">
        <f>SUM(S35)</f>
        <v>130519.80086653582</v>
      </c>
      <c r="AA51" s="52"/>
      <c r="AB51" s="52"/>
      <c r="AC51" s="52"/>
      <c r="AD51" s="52"/>
      <c r="AE51" s="52"/>
      <c r="AF51" s="52"/>
      <c r="AG51" s="52"/>
      <c r="AH51" s="52"/>
      <c r="AI51" s="52"/>
      <c r="AJ51" s="52"/>
    </row>
    <row r="52" spans="1:36" ht="61.5" x14ac:dyDescent="0.9">
      <c r="A52" s="37"/>
      <c r="B52" s="3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38"/>
      <c r="T52" s="38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</row>
    <row r="53" spans="1:36" x14ac:dyDescent="0.25">
      <c r="A53" s="128"/>
      <c r="B53" s="128"/>
      <c r="C53" s="119"/>
      <c r="D53" s="11"/>
      <c r="E53" s="11"/>
      <c r="F53" s="11"/>
      <c r="G53" s="11"/>
      <c r="H53" s="11"/>
      <c r="I53" s="11"/>
      <c r="J53" s="11"/>
    </row>
    <row r="54" spans="1:36" x14ac:dyDescent="0.25">
      <c r="A54" s="119"/>
      <c r="B54" s="119"/>
      <c r="C54" s="119"/>
      <c r="D54" s="11"/>
      <c r="E54" s="11"/>
      <c r="F54" s="11"/>
      <c r="G54" s="11"/>
      <c r="H54" s="11"/>
      <c r="I54" s="11"/>
      <c r="J54" s="11"/>
    </row>
    <row r="55" spans="1:36" x14ac:dyDescent="0.25">
      <c r="A55" s="119"/>
      <c r="B55" s="119"/>
      <c r="C55" s="119"/>
      <c r="D55" s="11"/>
      <c r="E55" s="11"/>
      <c r="F55" s="11"/>
      <c r="G55" s="11"/>
      <c r="H55" s="11"/>
      <c r="I55" s="11"/>
      <c r="J55" s="11"/>
    </row>
    <row r="56" spans="1:36" x14ac:dyDescent="0.25">
      <c r="A56" s="119"/>
      <c r="B56" s="119"/>
      <c r="C56" s="119"/>
      <c r="D56" s="11"/>
      <c r="E56" s="11"/>
      <c r="F56" s="11"/>
      <c r="G56" s="11"/>
      <c r="H56" s="11"/>
      <c r="I56" s="11"/>
      <c r="J56" s="11"/>
    </row>
    <row r="57" spans="1:36" x14ac:dyDescent="0.25">
      <c r="A57" s="119"/>
      <c r="B57" s="119"/>
      <c r="C57" s="119"/>
      <c r="D57" s="11"/>
      <c r="E57" s="11"/>
      <c r="F57" s="11"/>
      <c r="G57" s="11"/>
      <c r="H57" s="11"/>
      <c r="I57" s="11"/>
      <c r="J57" s="11"/>
    </row>
    <row r="58" spans="1:36" x14ac:dyDescent="0.25">
      <c r="A58" s="119"/>
      <c r="B58" s="119"/>
      <c r="C58" s="119"/>
      <c r="D58" s="11"/>
      <c r="E58" s="11"/>
      <c r="F58" s="11"/>
      <c r="G58" s="11"/>
      <c r="H58" s="11"/>
      <c r="I58" s="11"/>
      <c r="J58" s="11"/>
    </row>
    <row r="59" spans="1:36" x14ac:dyDescent="0.25">
      <c r="A59" s="119"/>
      <c r="B59" s="119"/>
      <c r="C59" s="119"/>
      <c r="D59" s="11"/>
      <c r="E59" s="11"/>
      <c r="F59" s="11"/>
      <c r="G59" s="11"/>
      <c r="H59" s="11"/>
      <c r="I59" s="11"/>
      <c r="J59" s="11"/>
    </row>
    <row r="60" spans="1:36" x14ac:dyDescent="0.25">
      <c r="A60" s="119"/>
      <c r="B60" s="119"/>
      <c r="C60" s="119"/>
      <c r="D60" s="11"/>
      <c r="E60" s="11"/>
      <c r="F60" s="11"/>
      <c r="G60" s="11"/>
      <c r="H60" s="11"/>
      <c r="I60" s="11"/>
      <c r="J60" s="11"/>
    </row>
    <row r="61" spans="1:36" x14ac:dyDescent="0.25">
      <c r="A61" s="119"/>
      <c r="B61" s="119"/>
      <c r="C61" s="119"/>
      <c r="D61" s="11"/>
      <c r="E61" s="11"/>
      <c r="F61" s="11"/>
      <c r="G61" s="11"/>
      <c r="H61" s="11"/>
      <c r="I61" s="11"/>
      <c r="J61" s="11"/>
    </row>
    <row r="62" spans="1:36" x14ac:dyDescent="0.25">
      <c r="A62" s="119"/>
      <c r="B62" s="119"/>
      <c r="C62" s="119"/>
      <c r="D62" s="11"/>
      <c r="E62" s="11"/>
      <c r="F62" s="11"/>
      <c r="G62" s="11"/>
      <c r="H62" s="11"/>
      <c r="I62" s="11"/>
      <c r="J62" s="11"/>
    </row>
    <row r="63" spans="1:36" x14ac:dyDescent="0.25">
      <c r="A63" s="119"/>
      <c r="B63" s="119"/>
      <c r="C63" s="119"/>
      <c r="D63" s="11"/>
      <c r="E63" s="11"/>
      <c r="F63" s="11"/>
      <c r="G63" s="11"/>
      <c r="H63" s="11"/>
      <c r="I63" s="11"/>
      <c r="J63" s="11"/>
    </row>
    <row r="64" spans="1:36" x14ac:dyDescent="0.25">
      <c r="A64" s="119"/>
      <c r="B64" s="119"/>
      <c r="C64" s="119"/>
      <c r="D64" s="11"/>
      <c r="E64" s="11"/>
      <c r="F64" s="11"/>
      <c r="G64" s="11"/>
      <c r="H64" s="11"/>
      <c r="I64" s="11"/>
      <c r="J64" s="11"/>
    </row>
    <row r="65" spans="1:10" x14ac:dyDescent="0.25">
      <c r="A65" s="119"/>
      <c r="B65" s="119"/>
      <c r="C65" s="119"/>
      <c r="D65" s="12"/>
      <c r="E65" s="12"/>
      <c r="F65" s="12"/>
      <c r="G65" s="12"/>
      <c r="H65" s="12"/>
      <c r="I65" s="12"/>
      <c r="J65" s="12"/>
    </row>
    <row r="66" spans="1:10" x14ac:dyDescent="0.25">
      <c r="A66" s="119"/>
      <c r="B66" s="119"/>
      <c r="C66" s="119"/>
      <c r="D66" s="12"/>
      <c r="E66" s="12"/>
      <c r="F66" s="12"/>
      <c r="G66" s="12"/>
      <c r="H66" s="12"/>
      <c r="I66" s="12"/>
      <c r="J66" s="12"/>
    </row>
    <row r="67" spans="1:10" x14ac:dyDescent="0.25">
      <c r="A67" s="119"/>
      <c r="B67" s="119"/>
      <c r="C67" s="119"/>
      <c r="D67" s="12"/>
      <c r="E67" s="12"/>
      <c r="F67" s="12"/>
      <c r="G67" s="12"/>
      <c r="H67" s="12"/>
      <c r="I67" s="12"/>
      <c r="J67" s="12"/>
    </row>
    <row r="68" spans="1:10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</row>
    <row r="69" spans="1:10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</row>
    <row r="70" spans="1:10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</row>
    <row r="71" spans="1:10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</row>
    <row r="72" spans="1:10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</row>
    <row r="73" spans="1:10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</row>
    <row r="74" spans="1:10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</row>
    <row r="75" spans="1:10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</row>
    <row r="76" spans="1:10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</row>
    <row r="77" spans="1:10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</row>
    <row r="78" spans="1:10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</row>
    <row r="79" spans="1:10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</row>
    <row r="80" spans="1:10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</row>
    <row r="81" spans="1:10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</row>
    <row r="82" spans="1:10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</row>
    <row r="83" spans="1:10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</row>
    <row r="84" spans="1:10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</row>
    <row r="85" spans="1:10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</row>
    <row r="86" spans="1:10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</row>
  </sheetData>
  <protectedRanges>
    <protectedRange sqref="H13 H39 Z13 Z39" name="Range6"/>
    <protectedRange sqref="I13:J14 I39:J40 AA13:AB14 AA39:AB40" name="Range5"/>
    <protectedRange sqref="H13 H39 Z13 Z39" name="Range4"/>
    <protectedRange sqref="F12 F38 X12 X38" name="Range3"/>
    <protectedRange sqref="E9:E14 E35:E40 W9:W14 W35:W40" name="Range2"/>
    <protectedRange sqref="C1:D1 C27:D27 U1:V1 U27:V27" name="Range1"/>
  </protectedRange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Sheet1!S22:S22</xm:f>
              <xm:sqref>S22</xm:sqref>
            </x14:sparkline>
            <x14:sparkline>
              <xm:f>Sheet1!T22:T22</xm:f>
              <xm:sqref>T22</xm:sqref>
            </x14:sparkline>
            <x14:sparkline>
              <xm:f>Sheet1!U22:U22</xm:f>
              <xm:sqref>U22</xm:sqref>
            </x14:sparkline>
            <x14:sparkline>
              <xm:f>Sheet1!V22:V22</xm:f>
              <xm:sqref>V22</xm:sqref>
            </x14:sparkline>
            <x14:sparkline>
              <xm:f>Sheet1!W22:W22</xm:f>
              <xm:sqref>W22</xm:sqref>
            </x14:sparkline>
            <x14:sparkline>
              <xm:f>Sheet1!X22:X22</xm:f>
              <xm:sqref>X22</xm:sqref>
            </x14:sparkline>
            <x14:sparkline>
              <xm:f>Sheet1!Y22:Y22</xm:f>
              <xm:sqref>Y22</xm:sqref>
            </x14:sparkline>
            <x14:sparkline>
              <xm:f>Sheet1!Z22:Z22</xm:f>
              <xm:sqref>Z22</xm:sqref>
            </x14:sparkline>
          </x14:sparklines>
        </x14:sparklineGroup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Sheet1!S48:S48</xm:f>
              <xm:sqref>S48</xm:sqref>
            </x14:sparkline>
            <x14:sparkline>
              <xm:f>Sheet1!T48:T48</xm:f>
              <xm:sqref>T48</xm:sqref>
            </x14:sparkline>
            <x14:sparkline>
              <xm:f>Sheet1!U48:U48</xm:f>
              <xm:sqref>U48</xm:sqref>
            </x14:sparkline>
            <x14:sparkline>
              <xm:f>Sheet1!V48:V48</xm:f>
              <xm:sqref>V48</xm:sqref>
            </x14:sparkline>
            <x14:sparkline>
              <xm:f>Sheet1!W48:W48</xm:f>
              <xm:sqref>W48</xm:sqref>
            </x14:sparkline>
            <x14:sparkline>
              <xm:f>Sheet1!X48:X48</xm:f>
              <xm:sqref>X48</xm:sqref>
            </x14:sparkline>
            <x14:sparkline>
              <xm:f>Sheet1!Y48:Y48</xm:f>
              <xm:sqref>Y48</xm:sqref>
            </x14:sparkline>
            <x14:sparkline>
              <xm:f>Sheet1!Z48:Z48</xm:f>
              <xm:sqref>Z48</xm:sqref>
            </x14:sparkline>
          </x14:sparklines>
        </x14:sparklineGroup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Sheet1!A48:A48</xm:f>
              <xm:sqref>A48</xm:sqref>
            </x14:sparkline>
            <x14:sparkline>
              <xm:f>Sheet1!B48:B48</xm:f>
              <xm:sqref>B48</xm:sqref>
            </x14:sparkline>
            <x14:sparkline>
              <xm:f>Sheet1!C48:C48</xm:f>
              <xm:sqref>C48</xm:sqref>
            </x14:sparkline>
            <x14:sparkline>
              <xm:f>Sheet1!D48:D48</xm:f>
              <xm:sqref>D48</xm:sqref>
            </x14:sparkline>
            <x14:sparkline>
              <xm:f>Sheet1!E48:E48</xm:f>
              <xm:sqref>E48</xm:sqref>
            </x14:sparkline>
            <x14:sparkline>
              <xm:f>Sheet1!F48:F48</xm:f>
              <xm:sqref>F48</xm:sqref>
            </x14:sparkline>
            <x14:sparkline>
              <xm:f>Sheet1!G48:G48</xm:f>
              <xm:sqref>G48</xm:sqref>
            </x14:sparkline>
            <x14:sparkline>
              <xm:f>Sheet1!H48:H48</xm:f>
              <xm:sqref>H48</xm:sqref>
            </x14:sparkline>
          </x14:sparklines>
        </x14:sparklineGroup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Sheet1!A22:A22</xm:f>
              <xm:sqref>A22</xm:sqref>
            </x14:sparkline>
            <x14:sparkline>
              <xm:f>Sheet1!B22:B22</xm:f>
              <xm:sqref>B22</xm:sqref>
            </x14:sparkline>
            <x14:sparkline>
              <xm:f>Sheet1!C22:C22</xm:f>
              <xm:sqref>C22</xm:sqref>
            </x14:sparkline>
            <x14:sparkline>
              <xm:f>Sheet1!D22:D22</xm:f>
              <xm:sqref>D22</xm:sqref>
            </x14:sparkline>
            <x14:sparkline>
              <xm:f>Sheet1!E22:E22</xm:f>
              <xm:sqref>E22</xm:sqref>
            </x14:sparkline>
            <x14:sparkline>
              <xm:f>Sheet1!F22:F22</xm:f>
              <xm:sqref>F22</xm:sqref>
            </x14:sparkline>
            <x14:sparkline>
              <xm:f>Sheet1!G22:G22</xm:f>
              <xm:sqref>G22</xm:sqref>
            </x14:sparkline>
            <x14:sparkline>
              <xm:f>Sheet1!H22:H22</xm:f>
              <xm:sqref>H22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Chart1</vt:lpstr>
      <vt:lpstr>Chart2</vt:lpstr>
    </vt:vector>
  </TitlesOfParts>
  <Company>MIDO-F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</dc:creator>
  <cp:lastModifiedBy>orabi abdullah</cp:lastModifiedBy>
  <dcterms:created xsi:type="dcterms:W3CDTF">2013-05-25T05:48:30Z</dcterms:created>
  <dcterms:modified xsi:type="dcterms:W3CDTF">2014-08-30T05:07:52Z</dcterms:modified>
</cp:coreProperties>
</file>